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05" yWindow="-105" windowWidth="19440" windowHeight="12570" tabRatio="941"/>
  </bookViews>
  <sheets>
    <sheet name="АКЦИИ МЕСЯЦА" sheetId="46" r:id="rId1"/>
    <sheet name="Доска обрезная" sheetId="38" r:id="rId2"/>
    <sheet name="Доска строганная" sheetId="7" r:id="rId3"/>
    <sheet name="Бруски" sheetId="25" r:id="rId4"/>
    <sheet name="Евровагонка и штиль" sheetId="34" r:id="rId5"/>
    <sheet name="Изделия из осины" sheetId="42" r:id="rId6"/>
    <sheet name="Блок-хаус, доска пола" sheetId="49" r:id="rId7"/>
    <sheet name="Имитация бруса" sheetId="26" r:id="rId8"/>
    <sheet name="Утеплители, кровля, пленки" sheetId="24" r:id="rId9"/>
    <sheet name="Антисептик СЕНЕЖ" sheetId="44" r:id="rId10"/>
    <sheet name="Погонажная продукция" sheetId="40" r:id="rId11"/>
    <sheet name="Лестничный элемент" sheetId="41" r:id="rId12"/>
    <sheet name="Метизы" sheetId="47" r:id="rId13"/>
    <sheet name="ОСП" sheetId="31" r:id="rId14"/>
  </sheets>
  <definedNames>
    <definedName name="_xlnm.Print_Area" localSheetId="0">'АКЦИИ МЕСЯЦА'!$B$1:$D$51</definedName>
    <definedName name="_xlnm.Print_Area" localSheetId="9">'Антисептик СЕНЕЖ'!$A$1:$D$25</definedName>
    <definedName name="_xlnm.Print_Area" localSheetId="6">'Блок-хаус, доска пола'!$B$4:$J$35</definedName>
    <definedName name="_xlnm.Print_Area" localSheetId="2">'Доска строганная'!$B$4:$J$50</definedName>
    <definedName name="_xlnm.Print_Area" localSheetId="4">'Евровагонка и штиль'!$B$4:$J$56</definedName>
    <definedName name="_xlnm.Print_Area" localSheetId="5">'Изделия из осины'!$A$1:$D$52</definedName>
    <definedName name="_xlnm.Print_Area" localSheetId="7">'Имитация бруса'!$A$1:$H$38</definedName>
    <definedName name="_xlnm.Print_Area" localSheetId="11">'Лестничный элемент'!$A$1:$C$53</definedName>
    <definedName name="_xlnm.Print_Area" localSheetId="13">ОСП!$C$4:$H$37</definedName>
    <definedName name="_xlnm.Print_Area" localSheetId="10">'Погонажная продукция'!$A$1:$D$85</definedName>
    <definedName name="_xlnm.Print_Area" localSheetId="8">'Утеплители, кровля, пленки'!$B$1:$C$31</definedName>
  </definedNames>
  <calcPr calcId="125725"/>
</workbook>
</file>

<file path=xl/calcChain.xml><?xml version="1.0" encoding="utf-8"?>
<calcChain xmlns="http://schemas.openxmlformats.org/spreadsheetml/2006/main">
  <c r="F16" i="26"/>
  <c r="D18" i="38"/>
  <c r="H46" i="34"/>
  <c r="D46" i="38"/>
  <c r="D75"/>
  <c r="D74"/>
  <c r="D73"/>
  <c r="D72"/>
  <c r="D71"/>
  <c r="D34"/>
  <c r="D33"/>
  <c r="D32"/>
  <c r="D31"/>
  <c r="D30"/>
  <c r="D29"/>
  <c r="D28"/>
  <c r="D27"/>
  <c r="D26"/>
  <c r="D25"/>
  <c r="D22"/>
  <c r="G47" i="7"/>
  <c r="H47" s="1"/>
  <c r="G46"/>
  <c r="H46" s="1"/>
  <c r="G48"/>
  <c r="H48" s="1"/>
  <c r="E32" i="25"/>
  <c r="E31"/>
  <c r="E20"/>
  <c r="D43" i="38" l="1"/>
  <c r="D42"/>
  <c r="D41"/>
  <c r="D40"/>
  <c r="D39"/>
  <c r="D82"/>
  <c r="D81"/>
  <c r="D80"/>
  <c r="D79"/>
  <c r="D78"/>
  <c r="D77"/>
  <c r="H25" i="34"/>
  <c r="I25" s="1"/>
  <c r="H24"/>
  <c r="I24" s="1"/>
  <c r="F25" i="26"/>
  <c r="G25" s="1"/>
  <c r="H32" i="34"/>
  <c r="I32" s="1"/>
  <c r="G27" i="49"/>
  <c r="H45" i="34"/>
  <c r="H47"/>
  <c r="H44"/>
  <c r="H43"/>
  <c r="H42"/>
  <c r="H41"/>
  <c r="H40"/>
  <c r="H39"/>
  <c r="H38"/>
  <c r="H36"/>
  <c r="H35"/>
  <c r="H34"/>
  <c r="H33"/>
  <c r="H31"/>
  <c r="H30"/>
  <c r="H29"/>
  <c r="H28"/>
  <c r="H26"/>
  <c r="H23"/>
  <c r="H27"/>
  <c r="I27" s="1"/>
  <c r="H37"/>
  <c r="H22"/>
  <c r="G20" i="7"/>
  <c r="H20" s="1"/>
  <c r="G19"/>
  <c r="H19" s="1"/>
  <c r="F37" i="26"/>
  <c r="G37" s="1"/>
  <c r="F36"/>
  <c r="G36" s="1"/>
  <c r="F35"/>
  <c r="G35" s="1"/>
  <c r="F32"/>
  <c r="G32" s="1"/>
  <c r="F34"/>
  <c r="G34" s="1"/>
  <c r="F33"/>
  <c r="G33" s="1"/>
  <c r="F14" l="1"/>
  <c r="G14" s="1"/>
  <c r="H54" i="34"/>
  <c r="I54" s="1"/>
  <c r="E39" i="25" l="1"/>
  <c r="E37" l="1"/>
  <c r="E36"/>
  <c r="E35"/>
  <c r="E34"/>
  <c r="E33"/>
  <c r="E30"/>
  <c r="E29"/>
  <c r="E28"/>
  <c r="E22"/>
  <c r="E21"/>
  <c r="D49" i="38"/>
  <c r="D38"/>
  <c r="D37"/>
  <c r="G16" i="7" l="1"/>
  <c r="H16" s="1"/>
  <c r="E18" i="25" l="1"/>
  <c r="E17"/>
  <c r="E16"/>
  <c r="E15"/>
  <c r="E14"/>
  <c r="E13"/>
  <c r="E12"/>
  <c r="D85" i="38"/>
  <c r="D84"/>
  <c r="D50" i="42"/>
  <c r="D49"/>
  <c r="D48"/>
  <c r="D47"/>
  <c r="D46"/>
  <c r="D45"/>
  <c r="D44"/>
  <c r="D51"/>
  <c r="D18"/>
  <c r="D17"/>
  <c r="D16"/>
  <c r="D15"/>
  <c r="D14"/>
  <c r="D13"/>
  <c r="D20"/>
  <c r="D19"/>
  <c r="D27"/>
  <c r="D26"/>
  <c r="D25"/>
  <c r="D24"/>
  <c r="D23"/>
  <c r="D22"/>
  <c r="D21"/>
  <c r="D28"/>
  <c r="F31" i="26"/>
  <c r="F30"/>
  <c r="F29"/>
  <c r="F28"/>
  <c r="F27"/>
  <c r="F26"/>
  <c r="F24"/>
  <c r="F23"/>
  <c r="F22"/>
  <c r="F21"/>
  <c r="F20"/>
  <c r="F19"/>
  <c r="F18"/>
  <c r="F17"/>
  <c r="G17" s="1"/>
  <c r="G16"/>
  <c r="F15"/>
  <c r="G15" s="1"/>
  <c r="F13"/>
  <c r="G13" s="1"/>
  <c r="F12"/>
  <c r="G12" s="1"/>
  <c r="G34" i="49"/>
  <c r="G33"/>
  <c r="G32"/>
  <c r="G30"/>
  <c r="G29"/>
  <c r="G28"/>
  <c r="G31"/>
  <c r="G26"/>
  <c r="G25"/>
  <c r="G20"/>
  <c r="G19"/>
  <c r="G17"/>
  <c r="G16"/>
  <c r="G18"/>
  <c r="H18" s="1"/>
  <c r="G15"/>
  <c r="H55" i="34"/>
  <c r="I55" s="1"/>
  <c r="H53"/>
  <c r="I53" s="1"/>
  <c r="H52"/>
  <c r="I52" s="1"/>
  <c r="H21"/>
  <c r="H20"/>
  <c r="H19"/>
  <c r="H18"/>
  <c r="H17"/>
  <c r="H16"/>
  <c r="H15"/>
  <c r="I15" s="1"/>
  <c r="G30" i="7"/>
  <c r="H30" s="1"/>
  <c r="G29"/>
  <c r="H29" s="1"/>
  <c r="G28"/>
  <c r="H28" s="1"/>
  <c r="G27"/>
  <c r="H27" s="1"/>
  <c r="G26"/>
  <c r="H26" s="1"/>
  <c r="G25"/>
  <c r="H25" s="1"/>
  <c r="G24"/>
  <c r="H24" s="1"/>
  <c r="G31"/>
  <c r="H31" s="1"/>
  <c r="G32"/>
  <c r="H32" s="1"/>
  <c r="G22"/>
  <c r="H22" s="1"/>
  <c r="G23"/>
  <c r="H23" s="1"/>
  <c r="G21"/>
  <c r="H21" s="1"/>
  <c r="G18"/>
  <c r="H18" s="1"/>
  <c r="G17"/>
  <c r="H17" s="1"/>
  <c r="D13" i="38" l="1"/>
  <c r="D55"/>
  <c r="D97"/>
  <c r="D96"/>
  <c r="D95"/>
  <c r="D94"/>
  <c r="D92"/>
  <c r="D91"/>
  <c r="D90"/>
  <c r="D87"/>
  <c r="D89"/>
  <c r="D88"/>
  <c r="D68"/>
  <c r="D67"/>
  <c r="D66"/>
  <c r="D64"/>
  <c r="D63"/>
  <c r="D62"/>
  <c r="D60"/>
  <c r="D59"/>
  <c r="D57"/>
  <c r="D56"/>
  <c r="D50"/>
  <c r="D15"/>
  <c r="D14"/>
  <c r="D21"/>
  <c r="D20"/>
  <c r="D19"/>
  <c r="D17"/>
  <c r="D16"/>
  <c r="G31" i="26"/>
  <c r="G30"/>
  <c r="G29"/>
  <c r="G28"/>
  <c r="G27"/>
  <c r="G26"/>
  <c r="G24"/>
  <c r="G23"/>
  <c r="G22"/>
  <c r="G21"/>
  <c r="G20"/>
  <c r="G19"/>
  <c r="G18"/>
  <c r="I43" i="34"/>
  <c r="I26"/>
  <c r="H41" i="7"/>
  <c r="H34" i="49" l="1"/>
  <c r="H33"/>
  <c r="H32"/>
  <c r="H31"/>
  <c r="H30"/>
  <c r="H29"/>
  <c r="H28"/>
  <c r="H26"/>
  <c r="H25"/>
  <c r="H20"/>
  <c r="H19"/>
  <c r="H17"/>
  <c r="H16"/>
  <c r="H15"/>
  <c r="H44" i="7"/>
  <c r="I17" i="34"/>
  <c r="I38"/>
  <c r="H49" i="7" l="1"/>
  <c r="H43"/>
  <c r="H42"/>
  <c r="H36"/>
  <c r="H35"/>
  <c r="I47" i="34"/>
  <c r="I46"/>
  <c r="I45"/>
  <c r="I44"/>
  <c r="I42"/>
  <c r="I41"/>
  <c r="I40"/>
  <c r="I39"/>
  <c r="I37"/>
  <c r="I36"/>
  <c r="I35"/>
  <c r="I34"/>
  <c r="I33"/>
  <c r="I31"/>
  <c r="I30"/>
  <c r="I29"/>
  <c r="I28"/>
  <c r="I23"/>
  <c r="I22"/>
  <c r="I21"/>
  <c r="I20"/>
  <c r="I19"/>
  <c r="I18"/>
  <c r="I16"/>
</calcChain>
</file>

<file path=xl/sharedStrings.xml><?xml version="1.0" encoding="utf-8"?>
<sst xmlns="http://schemas.openxmlformats.org/spreadsheetml/2006/main" count="1425" uniqueCount="842">
  <si>
    <t>т/ф 98-38-81, 98-38-82, г. Ярославль, Тормозное шоссе, д.3</t>
  </si>
  <si>
    <t>сайт: лесунас.рф</t>
  </si>
  <si>
    <t>e-mail: lesunas@mail.ru</t>
  </si>
  <si>
    <r>
      <t xml:space="preserve">Время работы: </t>
    </r>
    <r>
      <rPr>
        <u/>
        <sz val="16"/>
        <rFont val="Times New Roman"/>
        <family val="1"/>
        <charset val="204"/>
      </rPr>
      <t>без перерыва на обед</t>
    </r>
  </si>
  <si>
    <t xml:space="preserve">      Сб: с 9:00 до 15:00</t>
  </si>
  <si>
    <t>НАИМЕНОВАНИЕ</t>
  </si>
  <si>
    <r>
      <t>Цена руб. за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</si>
  <si>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за шт.</t>
  </si>
  <si>
    <t>БРУСОК ЕСТЕСТВЕННОЙ ВЛАЖНОСТИ
2 СОРТ</t>
  </si>
  <si>
    <t>50х50х3000</t>
  </si>
  <si>
    <t>ДОСКА ОБРЕЗНАЯ 1 СОРТ</t>
  </si>
  <si>
    <t>2 и 3 метровая</t>
  </si>
  <si>
    <t>40х240х2000</t>
  </si>
  <si>
    <t>25х150х3000</t>
  </si>
  <si>
    <t>32х100х3000</t>
  </si>
  <si>
    <t>5 метровая</t>
  </si>
  <si>
    <t>50х200х5000</t>
  </si>
  <si>
    <t>6 метровая</t>
  </si>
  <si>
    <t>25х100х6000</t>
  </si>
  <si>
    <t>40х100х6000</t>
  </si>
  <si>
    <t>40х200х6000</t>
  </si>
  <si>
    <t>50х100х6000</t>
  </si>
  <si>
    <t>50х150х6000</t>
  </si>
  <si>
    <t>50х200х6000</t>
  </si>
  <si>
    <t>ДОСКА ОБРЕЗНАЯ 2 СОРТ</t>
  </si>
  <si>
    <t>25х100х3000</t>
  </si>
  <si>
    <t>25х150х6000</t>
  </si>
  <si>
    <t>50х100х5000</t>
  </si>
  <si>
    <t>100х100х6000</t>
  </si>
  <si>
    <t>100х150х6000</t>
  </si>
  <si>
    <t>БЛОК-ХАУС</t>
  </si>
  <si>
    <t>28х145х6000 сорт АВ</t>
  </si>
  <si>
    <t>38х190х6000 сорт АВ</t>
  </si>
  <si>
    <t>ЕВРОВАГОНКА ХВОЯ</t>
  </si>
  <si>
    <t>12,5х96х2800 сорт АВ</t>
  </si>
  <si>
    <t>12,5х96х3000 сорт АВ</t>
  </si>
  <si>
    <t>ДОСКА ПОЛА</t>
  </si>
  <si>
    <t>28х140х6000 сорт С</t>
  </si>
  <si>
    <t>38х140х6000 сорт С</t>
  </si>
  <si>
    <t>47х145х6000 сорт С</t>
  </si>
  <si>
    <t>ДОСКА СТРОГАННАЯ</t>
  </si>
  <si>
    <t>20х65х1500 сорт АВ</t>
  </si>
  <si>
    <t>20х65х2000 сорт АВ</t>
  </si>
  <si>
    <t>20х65х3000 сорт АВ</t>
  </si>
  <si>
    <t>16х90х6000 сорт АВ</t>
  </si>
  <si>
    <t>45х95х6000 сорт АВ</t>
  </si>
  <si>
    <t>18х96х4000 сорт АВ</t>
  </si>
  <si>
    <t>МЕБЕЛЬНЫЙ ЩИТ</t>
  </si>
  <si>
    <t>40х1000х1000 сорт С</t>
  </si>
  <si>
    <t>Примечание: прайс является ориентировочным, наличие и конечные цены согласовывать у менеджера</t>
  </si>
  <si>
    <t>Сб: с 9:00 до 15:00</t>
  </si>
  <si>
    <t>ПИЛОМАТЕРИАЛ ОБРЕЗНОЙ</t>
  </si>
  <si>
    <r>
      <t>Кол-во шт. в м</t>
    </r>
    <r>
      <rPr>
        <b/>
        <vertAlign val="superscript"/>
        <sz val="22"/>
        <rFont val="Times New Roman"/>
        <family val="1"/>
        <charset val="204"/>
      </rPr>
      <t>3</t>
    </r>
  </si>
  <si>
    <t>БРУС ОБРЕЗНОЙ</t>
  </si>
  <si>
    <t>2 сорт 100х150х6000</t>
  </si>
  <si>
    <t>100х200х6000</t>
  </si>
  <si>
    <t>150х150х6000</t>
  </si>
  <si>
    <t>150х200х6000</t>
  </si>
  <si>
    <t>200х200х6000</t>
  </si>
  <si>
    <t>2 метровая</t>
  </si>
  <si>
    <t>25х80х2000</t>
  </si>
  <si>
    <t>25х100х2000</t>
  </si>
  <si>
    <t>25х125х2000</t>
  </si>
  <si>
    <t>25х150х2000</t>
  </si>
  <si>
    <t>40х100х2000</t>
  </si>
  <si>
    <t>40х200х2000</t>
  </si>
  <si>
    <t>50х100х2000</t>
  </si>
  <si>
    <t>50х150х2000</t>
  </si>
  <si>
    <t>50х200х2000</t>
  </si>
  <si>
    <t>3 метровая</t>
  </si>
  <si>
    <t>40х100х3000</t>
  </si>
  <si>
    <t>40х200х3000</t>
  </si>
  <si>
    <t>50х100х3000</t>
  </si>
  <si>
    <t>50х150х3000</t>
  </si>
  <si>
    <t>50х200х3000</t>
  </si>
  <si>
    <t>32х100х6000</t>
  </si>
  <si>
    <t>32х150х6000</t>
  </si>
  <si>
    <t>40х150х6000</t>
  </si>
  <si>
    <t>40х150х2000</t>
  </si>
  <si>
    <t>40х240х6000</t>
  </si>
  <si>
    <r>
      <t xml:space="preserve">Время работы: </t>
    </r>
    <r>
      <rPr>
        <u/>
        <sz val="36"/>
        <rFont val="Times New Roman"/>
        <family val="1"/>
        <charset val="204"/>
      </rPr>
      <t>без перерыва на обед</t>
    </r>
  </si>
  <si>
    <t>Евровагонка</t>
  </si>
  <si>
    <t>Профиль</t>
  </si>
  <si>
    <t>Кол-во 
в упак.</t>
  </si>
  <si>
    <t xml:space="preserve"> Площадь, закрываемая одной пачкой</t>
  </si>
  <si>
    <t>Цена 
за упак.</t>
  </si>
  <si>
    <r>
      <t>Цена 
за 1 м</t>
    </r>
    <r>
      <rPr>
        <b/>
        <vertAlign val="superscript"/>
        <sz val="28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</si>
  <si>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28"/>
        <rFont val="Times New Roman"/>
        <family val="1"/>
        <charset val="204"/>
      </rPr>
      <t>3</t>
    </r>
  </si>
  <si>
    <t>12,5х96х2000 сорт С</t>
  </si>
  <si>
    <t>10 шт</t>
  </si>
  <si>
    <r>
      <t>1,8 м</t>
    </r>
    <r>
      <rPr>
        <vertAlign val="superscript"/>
        <sz val="36"/>
        <rFont val="Times New Roman"/>
        <family val="1"/>
        <charset val="204"/>
      </rPr>
      <t>2</t>
    </r>
  </si>
  <si>
    <t>12,5х96х2100 сорт С</t>
  </si>
  <si>
    <r>
      <t>1,89 м</t>
    </r>
    <r>
      <rPr>
        <vertAlign val="superscript"/>
        <sz val="36"/>
        <rFont val="Times New Roman"/>
        <family val="1"/>
        <charset val="204"/>
      </rPr>
      <t>2</t>
    </r>
  </si>
  <si>
    <t>12,5х96х2500 сорт С</t>
  </si>
  <si>
    <r>
      <t>2,47 м</t>
    </r>
    <r>
      <rPr>
        <vertAlign val="superscript"/>
        <sz val="36"/>
        <rFont val="Times New Roman"/>
        <family val="1"/>
        <charset val="204"/>
      </rPr>
      <t>2</t>
    </r>
  </si>
  <si>
    <t>12,5х96х2750 сорт С</t>
  </si>
  <si>
    <t>12,5х96х3000 сорт С</t>
  </si>
  <si>
    <r>
      <t>2,7 м</t>
    </r>
    <r>
      <rPr>
        <vertAlign val="superscript"/>
        <sz val="36"/>
        <rFont val="Times New Roman"/>
        <family val="1"/>
        <charset val="204"/>
      </rPr>
      <t>2</t>
    </r>
  </si>
  <si>
    <t>12,5х96х2000 сорт В</t>
  </si>
  <si>
    <t>12,5х96х1500 сорт АВ</t>
  </si>
  <si>
    <r>
      <t>1,35 м</t>
    </r>
    <r>
      <rPr>
        <vertAlign val="superscript"/>
        <sz val="36"/>
        <rFont val="Times New Roman"/>
        <family val="1"/>
        <charset val="204"/>
      </rPr>
      <t>2</t>
    </r>
  </si>
  <si>
    <t>12,5х96х1800 сорт АВ</t>
  </si>
  <si>
    <r>
      <t>1,62 м</t>
    </r>
    <r>
      <rPr>
        <vertAlign val="superscript"/>
        <sz val="36"/>
        <rFont val="Times New Roman"/>
        <family val="1"/>
        <charset val="204"/>
      </rPr>
      <t>2</t>
    </r>
  </si>
  <si>
    <t>12,5х96х2000 сорт АВ</t>
  </si>
  <si>
    <t>12,5х96х2100 сорт АВ</t>
  </si>
  <si>
    <t>12,5х96х2400 сорт АВ</t>
  </si>
  <si>
    <r>
      <t>2,16 м</t>
    </r>
    <r>
      <rPr>
        <vertAlign val="superscript"/>
        <sz val="36"/>
        <rFont val="Times New Roman"/>
        <family val="1"/>
        <charset val="204"/>
      </rPr>
      <t>2</t>
    </r>
  </si>
  <si>
    <t>12,5х96х2550 сорт АВ</t>
  </si>
  <si>
    <r>
      <t>2,295 м</t>
    </r>
    <r>
      <rPr>
        <vertAlign val="superscript"/>
        <sz val="36"/>
        <rFont val="Times New Roman"/>
        <family val="1"/>
        <charset val="204"/>
      </rPr>
      <t>2</t>
    </r>
  </si>
  <si>
    <t>12,5х96х2700 сорт АВ</t>
  </si>
  <si>
    <r>
      <t>2,43 м</t>
    </r>
    <r>
      <rPr>
        <vertAlign val="superscript"/>
        <sz val="36"/>
        <rFont val="Times New Roman"/>
        <family val="1"/>
        <charset val="204"/>
      </rPr>
      <t>2</t>
    </r>
  </si>
  <si>
    <r>
      <t>3,52 м</t>
    </r>
    <r>
      <rPr>
        <vertAlign val="superscript"/>
        <sz val="36"/>
        <rFont val="Times New Roman"/>
        <family val="1"/>
        <charset val="204"/>
      </rPr>
      <t>2</t>
    </r>
  </si>
  <si>
    <t>12,5х96х2000 сорт А</t>
  </si>
  <si>
    <t>12,5х96х2100 сорт А</t>
  </si>
  <si>
    <t>12,5х96х2500 сорт А</t>
  </si>
  <si>
    <t>12,5х96х2550 сорт А</t>
  </si>
  <si>
    <t>12,5х96х2750 сорт А</t>
  </si>
  <si>
    <t>12,5х96х3000 сорт А</t>
  </si>
  <si>
    <t>8 шт</t>
  </si>
  <si>
    <t>12,5х96х4000 сорт А</t>
  </si>
  <si>
    <r>
      <t>5,4 м</t>
    </r>
    <r>
      <rPr>
        <vertAlign val="superscript"/>
        <sz val="36"/>
        <rFont val="Times New Roman"/>
        <family val="1"/>
        <charset val="204"/>
      </rPr>
      <t>2</t>
    </r>
  </si>
  <si>
    <t>ВАГОНКА ШТИЛЬ ХВОЯ</t>
  </si>
  <si>
    <t>Штиль(аналог евровагонки)</t>
  </si>
  <si>
    <t>13х123х3000 сорт АВ</t>
  </si>
  <si>
    <t>7 шт.</t>
  </si>
  <si>
    <t>6 шт.</t>
  </si>
  <si>
    <t xml:space="preserve"> т/ф 98-38-81, 98-38-82, г. Ярославль, Тормозное шоссе, д.3</t>
  </si>
  <si>
    <t xml:space="preserve"> e-mail: lesunas@mail.ru</t>
  </si>
  <si>
    <r>
      <t xml:space="preserve">Время работы: </t>
    </r>
    <r>
      <rPr>
        <u/>
        <sz val="24"/>
        <rFont val="Times New Roman"/>
        <family val="1"/>
        <charset val="204"/>
      </rPr>
      <t>без перерыва на обед</t>
    </r>
  </si>
  <si>
    <t>Блок-хаус профил.сух.</t>
  </si>
  <si>
    <r>
      <t>Кол-во 
в 1 м</t>
    </r>
    <r>
      <rPr>
        <b/>
        <vertAlign val="superscript"/>
        <sz val="28"/>
        <rFont val="Times New Roman"/>
        <family val="1"/>
        <charset val="204"/>
      </rPr>
      <t>2</t>
    </r>
  </si>
  <si>
    <r>
      <t>Кол-во 
в 1 м</t>
    </r>
    <r>
      <rPr>
        <b/>
        <vertAlign val="superscript"/>
        <sz val="28"/>
        <rFont val="Times New Roman"/>
        <family val="1"/>
        <charset val="204"/>
      </rPr>
      <t>3</t>
    </r>
  </si>
  <si>
    <t>Цена 
за шт.</t>
  </si>
  <si>
    <t>1,23 шт.</t>
  </si>
  <si>
    <t>41 шт.</t>
  </si>
  <si>
    <t>30,6 шт.</t>
  </si>
  <si>
    <t>0,9 шт.</t>
  </si>
  <si>
    <t>23 шт.</t>
  </si>
  <si>
    <t>38х190х6000 сорт АВ плоский</t>
  </si>
  <si>
    <t>38х190х6000 сорт АВ круглый</t>
  </si>
  <si>
    <t>Доска пола, профил.сух.</t>
  </si>
  <si>
    <t>20х95х3000 сорт С</t>
  </si>
  <si>
    <t>3,7 шт.</t>
  </si>
  <si>
    <t>175,4 шт.</t>
  </si>
  <si>
    <t>42,5 шт.</t>
  </si>
  <si>
    <t>31,3 шт.</t>
  </si>
  <si>
    <t>20х95х3000 сорт АВ</t>
  </si>
  <si>
    <t>28х140х6000 сорт АВ</t>
  </si>
  <si>
    <t>28х146х6000 сорт АВ</t>
  </si>
  <si>
    <t>1,19 шт.</t>
  </si>
  <si>
    <t>1,85 шт.</t>
  </si>
  <si>
    <t>46,1 шт.</t>
  </si>
  <si>
    <t>38х140х6000 сорт АВ</t>
  </si>
  <si>
    <t>47х145х6000 сорт АВ</t>
  </si>
  <si>
    <t>24,4 шт.</t>
  </si>
  <si>
    <t>ДОСКА СУХАЯ СТРОГАННАЯ</t>
  </si>
  <si>
    <t>Доска сухая строганная 6 м</t>
  </si>
  <si>
    <t>115,7 шт.</t>
  </si>
  <si>
    <t>20х95х6000 сорт АВ</t>
  </si>
  <si>
    <t>1,75 шт.</t>
  </si>
  <si>
    <t>87,7 шт.</t>
  </si>
  <si>
    <t>35х90х6000 сорт АВ</t>
  </si>
  <si>
    <t>52,9 шт.</t>
  </si>
  <si>
    <t>34 шт.</t>
  </si>
  <si>
    <t>0,88 шт.</t>
  </si>
  <si>
    <t>45х90х6000 сорт АВ</t>
  </si>
  <si>
    <t>41,1 шт.</t>
  </si>
  <si>
    <t>38,9 шт.</t>
  </si>
  <si>
    <t>48х190х6000 сорт АВ</t>
  </si>
  <si>
    <t>19,5 шт.</t>
  </si>
  <si>
    <t>50х140х6000 сорт АВ</t>
  </si>
  <si>
    <t>23,8 шт.</t>
  </si>
  <si>
    <t>Террасная 28х140х6000 сорт АВ</t>
  </si>
  <si>
    <t>Террасная 28х140х6000 сорт С</t>
  </si>
  <si>
    <t>Террасная 38х140х6000 сорт АВ</t>
  </si>
  <si>
    <t>Террасная 38х140х6000 сорт С</t>
  </si>
  <si>
    <t>Доска сухая строганная 3 м</t>
  </si>
  <si>
    <t>38х140х3000 сорт С</t>
  </si>
  <si>
    <t>2,38 шт.</t>
  </si>
  <si>
    <t>62,6 шт.</t>
  </si>
  <si>
    <t>38х190х3000 сорт С</t>
  </si>
  <si>
    <t>10,2 шт.</t>
  </si>
  <si>
    <t>512,8 шт.</t>
  </si>
  <si>
    <t>7,7 шт.</t>
  </si>
  <si>
    <t>384,6 шт.</t>
  </si>
  <si>
    <t>5,1 шт.</t>
  </si>
  <si>
    <t>256,4 шт.</t>
  </si>
  <si>
    <t>5,2 шт.</t>
  </si>
  <si>
    <t>25х96х2000 сорт АВ</t>
  </si>
  <si>
    <t>208,3 шт.</t>
  </si>
  <si>
    <r>
      <t xml:space="preserve">Время работы: </t>
    </r>
    <r>
      <rPr>
        <u/>
        <sz val="18"/>
        <rFont val="Times New Roman"/>
        <family val="1"/>
        <charset val="204"/>
      </rPr>
      <t>без перерыва на обед</t>
    </r>
  </si>
  <si>
    <t>ИМИТАЦИЯ БРУСА ИЗ ХВОИ</t>
  </si>
  <si>
    <t>Имитация бруса профил.</t>
  </si>
  <si>
    <r>
      <t>Цена 
за 1 м</t>
    </r>
    <r>
      <rPr>
        <b/>
        <vertAlign val="superscript"/>
        <sz val="16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</si>
  <si>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16"/>
        <rFont val="Times New Roman"/>
        <family val="1"/>
        <charset val="204"/>
      </rPr>
      <t>3</t>
    </r>
  </si>
  <si>
    <t>10 шт.</t>
  </si>
  <si>
    <t xml:space="preserve">16х145х3000 сорт С </t>
  </si>
  <si>
    <t>18х145х6000 сорт С</t>
  </si>
  <si>
    <t>5 шт.</t>
  </si>
  <si>
    <r>
      <t>4,2 м</t>
    </r>
    <r>
      <rPr>
        <b/>
        <vertAlign val="superscript"/>
        <sz val="16"/>
        <color rgb="FFFF0000"/>
        <rFont val="Times New Roman"/>
        <family val="1"/>
        <charset val="204"/>
      </rPr>
      <t>2</t>
    </r>
  </si>
  <si>
    <t xml:space="preserve">16х145х3000 сорт АВ </t>
  </si>
  <si>
    <t xml:space="preserve">16х145х4000 сорт АВ </t>
  </si>
  <si>
    <t xml:space="preserve">16х145х5000 сорт АВ </t>
  </si>
  <si>
    <t xml:space="preserve">16х145х6000 сорт АВ </t>
  </si>
  <si>
    <t>18х145х6000 сорт АВ</t>
  </si>
  <si>
    <t>18х146х5500 сорт АВ</t>
  </si>
  <si>
    <t xml:space="preserve">20х145х3000 сорт АВ </t>
  </si>
  <si>
    <t xml:space="preserve">20х145х5000 сорт АВ </t>
  </si>
  <si>
    <t xml:space="preserve">20х145х6000 сорт АВ </t>
  </si>
  <si>
    <t>4 шт.</t>
  </si>
  <si>
    <t xml:space="preserve">20х190х3000 сорт АВ </t>
  </si>
  <si>
    <t>3 шт.</t>
  </si>
  <si>
    <t xml:space="preserve">20х190х4000 сорт АВ </t>
  </si>
  <si>
    <t xml:space="preserve">20х190х5000 сорт АВ </t>
  </si>
  <si>
    <t xml:space="preserve">20х190х6000 сорт АВ </t>
  </si>
  <si>
    <t>АНТИСЕПТИК СЕНЕЖ</t>
  </si>
  <si>
    <t>ПРОФИЛЬ</t>
  </si>
  <si>
    <t>Объем</t>
  </si>
  <si>
    <t>Цена за кан.</t>
  </si>
  <si>
    <r>
      <rPr>
        <b/>
        <sz val="14"/>
        <rFont val="Times New Roman"/>
        <family val="1"/>
        <charset val="204"/>
      </rPr>
      <t>СЕНЕЖ ЭКОБИО</t>
    </r>
    <r>
      <rPr>
        <sz val="14"/>
        <rFont val="Times New Roman"/>
        <family val="1"/>
        <charset val="204"/>
      </rPr>
      <t xml:space="preserve"> - 
экономичный бесцветный антисептик для помещений и деревянных конструкций под навесом</t>
    </r>
  </si>
  <si>
    <t>5 кг.</t>
  </si>
  <si>
    <t>10 кг.</t>
  </si>
  <si>
    <r>
      <rPr>
        <b/>
        <sz val="14"/>
        <rFont val="Times New Roman"/>
        <family val="1"/>
        <charset val="204"/>
      </rPr>
      <t>СЕНЕЖ БИО</t>
    </r>
    <r>
      <rPr>
        <sz val="14"/>
        <rFont val="Times New Roman"/>
        <family val="1"/>
        <charset val="204"/>
      </rPr>
      <t xml:space="preserve"> - 
консервирующий трудновымываемый антисептик для жилых объектов в тяжелых условиях эксплуатации</t>
    </r>
  </si>
  <si>
    <r>
      <rPr>
        <b/>
        <sz val="14"/>
        <rFont val="Times New Roman"/>
        <family val="1"/>
        <charset val="204"/>
      </rPr>
      <t>СЕНЕЖ УЛЬТРА</t>
    </r>
    <r>
      <rPr>
        <sz val="14"/>
        <rFont val="Times New Roman"/>
        <family val="1"/>
        <charset val="204"/>
      </rPr>
      <t xml:space="preserve"> - 
экономичный трудновымываемый антисептик для древесины наружной и внутренней службы</t>
    </r>
  </si>
  <si>
    <r>
      <rPr>
        <b/>
        <sz val="14"/>
        <rFont val="Times New Roman"/>
        <family val="1"/>
        <charset val="204"/>
      </rPr>
      <t xml:space="preserve">СЕНЕЖ - 
</t>
    </r>
    <r>
      <rPr>
        <sz val="14"/>
        <rFont val="Times New Roman"/>
        <family val="1"/>
        <charset val="204"/>
      </rPr>
      <t>консервирующий трудновымываемый антисептик для ответственных конструкций в тяжелых условиях эксплуатации</t>
    </r>
  </si>
  <si>
    <r>
      <rPr>
        <b/>
        <sz val="14"/>
        <rFont val="Times New Roman"/>
        <family val="1"/>
        <charset val="204"/>
      </rPr>
      <t>СЕНЕЖ ОГНЕБИО ПРОФ</t>
    </r>
    <r>
      <rPr>
        <sz val="14"/>
        <rFont val="Times New Roman"/>
        <family val="1"/>
        <charset val="204"/>
      </rPr>
      <t xml:space="preserve"> - комплексная огнебиозащита древесины с усиленным огнезащитным действием и контрольным тоннированием</t>
    </r>
  </si>
  <si>
    <t>6 кг.</t>
  </si>
  <si>
    <t>12 кг.</t>
  </si>
  <si>
    <t>КРОВЛЯ</t>
  </si>
  <si>
    <t>Наименование материала</t>
  </si>
  <si>
    <t>Цена за шт.</t>
  </si>
  <si>
    <t>Ондулин красный 950х1950 мм (20 гвоздей в комплекте)</t>
  </si>
  <si>
    <t>Ондулин коричневый 950х1950 мм (20 гвоздей в комплекте)</t>
  </si>
  <si>
    <t>Конёк  красный</t>
  </si>
  <si>
    <t>Конёк коричневый</t>
  </si>
  <si>
    <t>Конёк зеленый</t>
  </si>
  <si>
    <t>ПАРО-ГИДРОИЗОЛЯЦИЯ</t>
  </si>
  <si>
    <t>Изоспан А 
(1,6 м ветро-гидрозащита 70 кв.м.)</t>
  </si>
  <si>
    <t>Изоспан В 
(1,6 м пароизоляция универсал. 70 кв.м.)</t>
  </si>
  <si>
    <t>Изоспан D 
(1,6 м гидро-пароизоляция 70 кв.м.)</t>
  </si>
  <si>
    <t>Изоспан FB 
(1,2 м фольга для сауны упрочненная 35 кв.м.)</t>
  </si>
  <si>
    <t>УТЕПЛИТЕЛЬ</t>
  </si>
  <si>
    <r>
      <t>"Изорок ИЗОЛАЙТ" П-50, 8 плит,
базальт 4,8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400х600х1000 мм, 0,24 м</t>
    </r>
    <r>
      <rPr>
        <vertAlign val="superscript"/>
        <sz val="16"/>
        <rFont val="Times New Roman"/>
        <family val="1"/>
        <charset val="204"/>
      </rPr>
      <t>3</t>
    </r>
  </si>
  <si>
    <r>
      <t>"Изорок УЛЬТРАЛАЙТ" П-33, 8 плит,
базальт 5,76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400х600х1200 мм, 0,288 м</t>
    </r>
    <r>
      <rPr>
        <vertAlign val="superscript"/>
        <sz val="16"/>
        <rFont val="Times New Roman"/>
        <family val="1"/>
        <charset val="204"/>
      </rPr>
      <t>3</t>
    </r>
  </si>
  <si>
    <t>РУБЕРОИД</t>
  </si>
  <si>
    <t>РУБЕРОИД РКП 350 (о)  15 метров</t>
  </si>
  <si>
    <t>БЛОКИ</t>
  </si>
  <si>
    <t>Брикеты топливные RUF (12 брикетов в упаковке)</t>
  </si>
  <si>
    <t>188х190х390 мм</t>
  </si>
  <si>
    <r>
      <t xml:space="preserve">Время работы: </t>
    </r>
    <r>
      <rPr>
        <u/>
        <sz val="26"/>
        <rFont val="Times New Roman"/>
        <family val="1"/>
        <charset val="204"/>
      </rPr>
      <t>без перерыва на обед</t>
    </r>
  </si>
  <si>
    <t>ОРИЕНТИРОВАННО-СТРУЖЕЧНАЯ ПЛИТА</t>
  </si>
  <si>
    <t>Цена 
за лист.</t>
  </si>
  <si>
    <r>
      <t xml:space="preserve">Время работы: </t>
    </r>
    <r>
      <rPr>
        <u/>
        <sz val="14"/>
        <rFont val="Times New Roman"/>
        <family val="1"/>
        <charset val="204"/>
      </rPr>
      <t>без перерыва на обед</t>
    </r>
  </si>
  <si>
    <t xml:space="preserve"> ПОГОНАЖНАЯ ПРОДУКЦИЯ</t>
  </si>
  <si>
    <t>МАТЕРИАЛ</t>
  </si>
  <si>
    <t>ПЛИНТУСА</t>
  </si>
  <si>
    <t>Плинтус гладкий 30/12/2500</t>
  </si>
  <si>
    <t>Сосна</t>
  </si>
  <si>
    <t>Плинтус гладкий 43/12/2500</t>
  </si>
  <si>
    <t>Плинтус гладкий 50/12/2500</t>
  </si>
  <si>
    <t>Плинтус гладкий 60/12/2500</t>
  </si>
  <si>
    <t>Плинтус гладкий 90/17/2500</t>
  </si>
  <si>
    <t>Плинтус гладкий 120/17/2500</t>
  </si>
  <si>
    <t>Плинтус фигурный 30/12/2500</t>
  </si>
  <si>
    <t>Плинтус фигурный 90/17/2500</t>
  </si>
  <si>
    <t>Плинтус равнополочный 50/12/2500</t>
  </si>
  <si>
    <t>Плинтус разнополочный 50/12/2500</t>
  </si>
  <si>
    <t>Плинтус евро 60/12/2500</t>
  </si>
  <si>
    <t>РАСКЛАДКА</t>
  </si>
  <si>
    <t>Раскладка гладкая 30/6/2500</t>
  </si>
  <si>
    <t>Раскладка гладкая 40/6/2500</t>
  </si>
  <si>
    <t>Раскладка гладкая 50/8/2500</t>
  </si>
  <si>
    <t>Раскладка фигурная 30/8/2500</t>
  </si>
  <si>
    <t>Раскладка сфера 40/8/2500</t>
  </si>
  <si>
    <t>Раскладка угловая 14/14/2500</t>
  </si>
  <si>
    <t>НАЛИЧНИК</t>
  </si>
  <si>
    <t>Наличник гладкий 50/12/2200</t>
  </si>
  <si>
    <t>Наличник гладкий 60/12/2200</t>
  </si>
  <si>
    <t>Наличник гладкий 65/12/1750</t>
  </si>
  <si>
    <t>Наличник гладкий 70/12/2200</t>
  </si>
  <si>
    <t>Наличник гладкий 80/12/2200</t>
  </si>
  <si>
    <t>Наличник гладкий 90/12/2200</t>
  </si>
  <si>
    <t>Наличник гладкий 100/12/2200</t>
  </si>
  <si>
    <t>Наличник гладкий 120/12/2200</t>
  </si>
  <si>
    <t>Наличник гладкий 140/12/2200</t>
  </si>
  <si>
    <t>Наличник сфера 50/12/2200</t>
  </si>
  <si>
    <t>Наличник сфера 60/12/2200</t>
  </si>
  <si>
    <t>Наличник сфера 70/12/2200</t>
  </si>
  <si>
    <t>Наличник сфера 80/12/2200</t>
  </si>
  <si>
    <t>Наличник сфера 90/12/2200</t>
  </si>
  <si>
    <t>Наличник сфера 100/12/2200</t>
  </si>
  <si>
    <t>Наличник сфера 120/12/2200</t>
  </si>
  <si>
    <t>Наличник фигурный 50/12/2200</t>
  </si>
  <si>
    <t>Наличник фигурный 60/12/2200</t>
  </si>
  <si>
    <t>Наличник фигурный 70/12/2200</t>
  </si>
  <si>
    <t>Наличник фигурный 80/12/2200</t>
  </si>
  <si>
    <t>Наличник фигурный 90/12/2200</t>
  </si>
  <si>
    <t>Наличник фигурный 100/12/2200</t>
  </si>
  <si>
    <t>Наличник фигурный 120/12/2200</t>
  </si>
  <si>
    <t>УГОЛОК</t>
  </si>
  <si>
    <t>Угол наружный гладкий 20/20/2500</t>
  </si>
  <si>
    <t>Угол наружный гладкий 30/30/2500</t>
  </si>
  <si>
    <t>Угол наружный гладкий 40/40/2500</t>
  </si>
  <si>
    <t>Угол наружный гладкий 45/45/2500</t>
  </si>
  <si>
    <t>Угол наружный гладкий 50/50/2500</t>
  </si>
  <si>
    <t>Угол наружный гладкий 60/60/2500</t>
  </si>
  <si>
    <t>Угол наружный фигурный 30/30/2500</t>
  </si>
  <si>
    <t>Угол наружный фигурный 40/40/2500</t>
  </si>
  <si>
    <t>Угол внутренний фигурный 19/19/2500</t>
  </si>
  <si>
    <t>ШТАПИК</t>
  </si>
  <si>
    <t>Штапик оконный 10/10/2500</t>
  </si>
  <si>
    <t>Штапик квадратный 10/10/2500</t>
  </si>
  <si>
    <t>КОРОБКА ДВЕРНАЯ</t>
  </si>
  <si>
    <t>Коробка дверная 30/70/2100 А</t>
  </si>
  <si>
    <t>Коробка дверная 35/70/2100 В</t>
  </si>
  <si>
    <t>Коробка дверная 30/90/2100 А</t>
  </si>
  <si>
    <t>Коробка дверная 30/90/2100 В</t>
  </si>
  <si>
    <t>Коробка дверная 40/90/2100 В</t>
  </si>
  <si>
    <t>ЛЕСТНИЧНЫЙ ЭЛЕМЕНТ</t>
  </si>
  <si>
    <t>БАЛЯСИНЫ</t>
  </si>
  <si>
    <t>Балясина 50 №1</t>
  </si>
  <si>
    <t>Балясина 50 №2</t>
  </si>
  <si>
    <t>Балясина 50 №3</t>
  </si>
  <si>
    <t>Балясина 50 №5</t>
  </si>
  <si>
    <t>Балясина 50 №6</t>
  </si>
  <si>
    <t>Балясина 50 №9</t>
  </si>
  <si>
    <t>Балясина 50 №11</t>
  </si>
  <si>
    <t>Балясина 50 №15 Ф</t>
  </si>
  <si>
    <t>СТОЛБ НАЧАЛЬНЫЙ</t>
  </si>
  <si>
    <t>Столб начальный 90 №2</t>
  </si>
  <si>
    <t>Столб начальный 90 №9</t>
  </si>
  <si>
    <t>Столб начальный 90 №5</t>
  </si>
  <si>
    <t>Столб начальный 90 №15 Ф</t>
  </si>
  <si>
    <t>ПОРУЧЕНЬ</t>
  </si>
  <si>
    <t>Поручень 70/43/3000 под 50</t>
  </si>
  <si>
    <t>Поручень 70/43/4000 под 50</t>
  </si>
  <si>
    <t>Поворот 180 град. для ПР 70</t>
  </si>
  <si>
    <t>Окончание поручня (улитка) 70 град.</t>
  </si>
  <si>
    <t>ТЕТИВА</t>
  </si>
  <si>
    <t>Тетива 60х300х6000 сорт АВ</t>
  </si>
  <si>
    <t>Площадка 40х1000х1000 сорт С</t>
  </si>
  <si>
    <t>Площадка 40х1000х1000 сорт АВ</t>
  </si>
  <si>
    <t>Площадка 40х1000х1200 сорт АВ</t>
  </si>
  <si>
    <t>Площадка 40х1200х1500 сорт АВ</t>
  </si>
  <si>
    <t>Мебельный щит 40х300х1000 сорт АВ</t>
  </si>
  <si>
    <t>Мебельный щит  40х300х1200 сорт АВ</t>
  </si>
  <si>
    <t>Мебельный щит (ступенька) 40х300х1000 сорт АВ</t>
  </si>
  <si>
    <t>Мебельный щит (ступенька) 40х300х1200 сорт АВ</t>
  </si>
  <si>
    <t>Мебельный щит (подступенька) 18х200х1000 сорт АВ</t>
  </si>
  <si>
    <t>Мебельный щит (подступенька) 18х200х1200 сорт АВ</t>
  </si>
  <si>
    <t>Мебельный щит 28х400х1000 сорт АВ</t>
  </si>
  <si>
    <t>Мебельный щит 28х400х2000 сорт АВ</t>
  </si>
  <si>
    <t>Мебельный щит 
(не шлифованный) 28х280х2200 сорт АВ</t>
  </si>
  <si>
    <t>ИЗДЕЛИЯ ИЗ ОСИНЫ</t>
  </si>
  <si>
    <t>Цена</t>
  </si>
  <si>
    <t>ЕВРОВАГОНКА ИЗ ОСИНЫ 16х94 мм</t>
  </si>
  <si>
    <t>Евровагонка из осины сорт А 2 м</t>
  </si>
  <si>
    <t>Евровагонка из осины сорт А 2,1 м</t>
  </si>
  <si>
    <t>Евровагонка из осины сорт А 2,2 м</t>
  </si>
  <si>
    <t>Евровагонка из осины сорт А 2,3 м</t>
  </si>
  <si>
    <t>Евровагонка из осины сорт А 2,4 м</t>
  </si>
  <si>
    <t>Евровагонка из осины сорт А 2,5 м</t>
  </si>
  <si>
    <t>Евровагонка из осины сорт А 2,7 м</t>
  </si>
  <si>
    <t>Евровагонка из осины сорт А 3 м</t>
  </si>
  <si>
    <t>Евровагонка из осины сорт В 2 м</t>
  </si>
  <si>
    <t>Евровагонка из осины сорт В 2,1 м</t>
  </si>
  <si>
    <t>Евровагонка из осины сорт В 2,2 м</t>
  </si>
  <si>
    <t>Евровагонка из осины сорт В 2,3 м</t>
  </si>
  <si>
    <t>Евровагонка из осины сорт В 2,4 м</t>
  </si>
  <si>
    <t>Евровагонка из осины сорт В 2,5 м</t>
  </si>
  <si>
    <t>Евровагонка из осины сорт В 2,7 м</t>
  </si>
  <si>
    <t>Евровагонка из осины сорт В 3 м</t>
  </si>
  <si>
    <t>Раскладка сфера 35/12/3000 сорт А</t>
  </si>
  <si>
    <t>Раскладка сфера 40/7/2700 сорт А</t>
  </si>
  <si>
    <t>Раскладка сфера 40/7/3000 сорт А</t>
  </si>
  <si>
    <t>НАЛИЧНИК ИЗ ОСИНЫ</t>
  </si>
  <si>
    <t>Наличник гладкий 65/14/2200 сорт А</t>
  </si>
  <si>
    <t>ПЛИНТУС ИЗ ОСИНЫ</t>
  </si>
  <si>
    <t>Плинтус фигурный 45/11/2400 сорт А</t>
  </si>
  <si>
    <t>Плинтус фигурный 45/11/2700 сорт А</t>
  </si>
  <si>
    <t>Плинтус фигурный 45/11/3000 сорт А</t>
  </si>
  <si>
    <t>ПОЛОК ИЗ ОСИНЫ 28х92 мм</t>
  </si>
  <si>
    <t>Полок из осины сорт А 2 м</t>
  </si>
  <si>
    <t>Полок из осины сорт А 2,1 м</t>
  </si>
  <si>
    <t>Полок из осины сорт А 2,2 м</t>
  </si>
  <si>
    <t>Полок из осины сорт А 2,3 м</t>
  </si>
  <si>
    <t>Полок из осины сорт А 2,4 м</t>
  </si>
  <si>
    <t>Полок из осины сорт А 2,5 м</t>
  </si>
  <si>
    <t>Полок из осины сорт А 2,7 м</t>
  </si>
  <si>
    <t>Полок из осины сорт А 3 м</t>
  </si>
  <si>
    <t xml:space="preserve"> сайт: лесунас.рф</t>
  </si>
  <si>
    <t xml:space="preserve"> Сб: с 9:00 до 15:00</t>
  </si>
  <si>
    <t>Брусок естественной влажности</t>
  </si>
  <si>
    <t>25х50х2000</t>
  </si>
  <si>
    <t>25х50х3000</t>
  </si>
  <si>
    <t>30х50х3000</t>
  </si>
  <si>
    <t>40х40х3000</t>
  </si>
  <si>
    <t>40х50х3000</t>
  </si>
  <si>
    <t>50х70х3000</t>
  </si>
  <si>
    <t>40х40х6000</t>
  </si>
  <si>
    <t>20х40х3000</t>
  </si>
  <si>
    <t>20х45х3000</t>
  </si>
  <si>
    <t>20х50х3000</t>
  </si>
  <si>
    <t>30х40х3000</t>
  </si>
  <si>
    <t>40х40х2000</t>
  </si>
  <si>
    <t xml:space="preserve">Примечание: прайс является ориентировочным, </t>
  </si>
  <si>
    <t>Гвозди финишные (цинк)</t>
  </si>
  <si>
    <t xml:space="preserve">Шайба DIN 9021 увеличенная (цинк) </t>
  </si>
  <si>
    <t>00923</t>
  </si>
  <si>
    <t>1,6 х 20</t>
  </si>
  <si>
    <t>кг</t>
  </si>
  <si>
    <t>00885</t>
  </si>
  <si>
    <t>М6</t>
  </si>
  <si>
    <t>шт</t>
  </si>
  <si>
    <t>00922</t>
  </si>
  <si>
    <t>1,8 х 25</t>
  </si>
  <si>
    <t>00886</t>
  </si>
  <si>
    <t>М8</t>
  </si>
  <si>
    <t>00924</t>
  </si>
  <si>
    <t>1,6 х 30</t>
  </si>
  <si>
    <t>00877</t>
  </si>
  <si>
    <t>М10</t>
  </si>
  <si>
    <t>00925</t>
  </si>
  <si>
    <t>1,8 х 50</t>
  </si>
  <si>
    <t>00878</t>
  </si>
  <si>
    <t>М12</t>
  </si>
  <si>
    <t>00926</t>
  </si>
  <si>
    <t>2 х 60</t>
  </si>
  <si>
    <t>Бита Ritter WP магнитные (сталь S2)</t>
  </si>
  <si>
    <t xml:space="preserve">Кляймер из электротехн. стали </t>
  </si>
  <si>
    <t>00911</t>
  </si>
  <si>
    <t xml:space="preserve">PZ 1 х 50 мм </t>
  </si>
  <si>
    <t>00915</t>
  </si>
  <si>
    <t>3 мм. (по 100 шт)</t>
  </si>
  <si>
    <t>упак</t>
  </si>
  <si>
    <t>00913</t>
  </si>
  <si>
    <t>PZ 2 х 50 мм</t>
  </si>
  <si>
    <t>00916</t>
  </si>
  <si>
    <t>3,5 мм. (по 100 шт)</t>
  </si>
  <si>
    <t>00912</t>
  </si>
  <si>
    <t>PZ 3 х 50 мм</t>
  </si>
  <si>
    <t>00917</t>
  </si>
  <si>
    <t>4 мм. (по 100 шт)</t>
  </si>
  <si>
    <t>00914</t>
  </si>
  <si>
    <t>PH 2 х 50 мм</t>
  </si>
  <si>
    <t>00918</t>
  </si>
  <si>
    <t>5 мм. (по 80 шт)</t>
  </si>
  <si>
    <t xml:space="preserve">Саморезы потай круп. шаг по дереву (цинк) </t>
  </si>
  <si>
    <t>00919</t>
  </si>
  <si>
    <t>6 мм. (по 80 шт)</t>
  </si>
  <si>
    <t>00964</t>
  </si>
  <si>
    <t>3,5 х 16</t>
  </si>
  <si>
    <t xml:space="preserve">Гвозди строительные </t>
  </si>
  <si>
    <t>00965</t>
  </si>
  <si>
    <t>3,5 х 19</t>
  </si>
  <si>
    <t>01006</t>
  </si>
  <si>
    <t>2,5 х 50</t>
  </si>
  <si>
    <t>00966</t>
  </si>
  <si>
    <t>3,5 х 25</t>
  </si>
  <si>
    <t>00056</t>
  </si>
  <si>
    <t>2,5 х 60</t>
  </si>
  <si>
    <t>00967</t>
  </si>
  <si>
    <t>3,5 х 32</t>
  </si>
  <si>
    <t>01007</t>
  </si>
  <si>
    <t>3 х 70</t>
  </si>
  <si>
    <t>00968</t>
  </si>
  <si>
    <t>3,5 х 35</t>
  </si>
  <si>
    <t>01008</t>
  </si>
  <si>
    <t>3 х 80</t>
  </si>
  <si>
    <t>00974</t>
  </si>
  <si>
    <t>3,5 х 41</t>
  </si>
  <si>
    <t>01009</t>
  </si>
  <si>
    <t>3,5 х 90</t>
  </si>
  <si>
    <t>00969</t>
  </si>
  <si>
    <t>3,5 х 45</t>
  </si>
  <si>
    <t>00058</t>
  </si>
  <si>
    <t>3,9 х 100</t>
  </si>
  <si>
    <t>00970</t>
  </si>
  <si>
    <t>3,5 х 51</t>
  </si>
  <si>
    <t>01010</t>
  </si>
  <si>
    <t>4 х 100</t>
  </si>
  <si>
    <t>00971</t>
  </si>
  <si>
    <t>3,5 х 55</t>
  </si>
  <si>
    <t>01011</t>
  </si>
  <si>
    <t>4 х 120</t>
  </si>
  <si>
    <t>00972</t>
  </si>
  <si>
    <t>3,9 х 65</t>
  </si>
  <si>
    <t>01013</t>
  </si>
  <si>
    <t>4,8 х 120</t>
  </si>
  <si>
    <t>00975</t>
  </si>
  <si>
    <t>4,2 х 76</t>
  </si>
  <si>
    <t>01012</t>
  </si>
  <si>
    <t>5 х 150</t>
  </si>
  <si>
    <t>00976</t>
  </si>
  <si>
    <t>4,8 х 90</t>
  </si>
  <si>
    <t>00458</t>
  </si>
  <si>
    <t>6 х 200</t>
  </si>
  <si>
    <t>00879</t>
  </si>
  <si>
    <t>5 х 100</t>
  </si>
  <si>
    <t>00920</t>
  </si>
  <si>
    <t>7,6 х 250</t>
  </si>
  <si>
    <t>00880</t>
  </si>
  <si>
    <t>5 х 120</t>
  </si>
  <si>
    <t>00921</t>
  </si>
  <si>
    <t>8 х 300</t>
  </si>
  <si>
    <t>00881</t>
  </si>
  <si>
    <t>6 х 100</t>
  </si>
  <si>
    <t>Шуруп сантех. GL (Глухарь)</t>
  </si>
  <si>
    <t>00882</t>
  </si>
  <si>
    <t>6 х 120</t>
  </si>
  <si>
    <t>00854</t>
  </si>
  <si>
    <t>6 х 40</t>
  </si>
  <si>
    <t>00883</t>
  </si>
  <si>
    <t>6 х 140</t>
  </si>
  <si>
    <t>00897</t>
  </si>
  <si>
    <t>6 х 50</t>
  </si>
  <si>
    <t>00884</t>
  </si>
  <si>
    <t>6 х 160</t>
  </si>
  <si>
    <t>00855</t>
  </si>
  <si>
    <t>6 х 60</t>
  </si>
  <si>
    <t xml:space="preserve">Шурупы универсальные желтые (цинк) </t>
  </si>
  <si>
    <t>00898</t>
  </si>
  <si>
    <t>6 х 70</t>
  </si>
  <si>
    <t>00927</t>
  </si>
  <si>
    <t>3 х 20</t>
  </si>
  <si>
    <t>00899</t>
  </si>
  <si>
    <t>00928</t>
  </si>
  <si>
    <t>3 х 25</t>
  </si>
  <si>
    <t>00856</t>
  </si>
  <si>
    <t>00929</t>
  </si>
  <si>
    <t>3 х 40</t>
  </si>
  <si>
    <t>00857</t>
  </si>
  <si>
    <t>8 х 40</t>
  </si>
  <si>
    <t>00930</t>
  </si>
  <si>
    <t>3,5 х 50</t>
  </si>
  <si>
    <t>00858</t>
  </si>
  <si>
    <t>8 х 60</t>
  </si>
  <si>
    <t>00931</t>
  </si>
  <si>
    <t>4 х 40</t>
  </si>
  <si>
    <t>00859</t>
  </si>
  <si>
    <t>8 х 70</t>
  </si>
  <si>
    <t>00932</t>
  </si>
  <si>
    <t>4 х 50</t>
  </si>
  <si>
    <t>00860</t>
  </si>
  <si>
    <t>8 х 80</t>
  </si>
  <si>
    <t>00933</t>
  </si>
  <si>
    <t>4 х 70</t>
  </si>
  <si>
    <t>00861</t>
  </si>
  <si>
    <t>8 х 100</t>
  </si>
  <si>
    <t>00934</t>
  </si>
  <si>
    <t>5 х 40</t>
  </si>
  <si>
    <t>00862</t>
  </si>
  <si>
    <t>8 х 120</t>
  </si>
  <si>
    <t>00935</t>
  </si>
  <si>
    <t>5 х 50</t>
  </si>
  <si>
    <t>00863</t>
  </si>
  <si>
    <t>8 х 140</t>
  </si>
  <si>
    <t>00936</t>
  </si>
  <si>
    <t>5 х 60</t>
  </si>
  <si>
    <t>00864</t>
  </si>
  <si>
    <t>8 х 150</t>
  </si>
  <si>
    <t>00937</t>
  </si>
  <si>
    <t>5 х 70</t>
  </si>
  <si>
    <t>00865</t>
  </si>
  <si>
    <t>8 х 180</t>
  </si>
  <si>
    <t>00938</t>
  </si>
  <si>
    <t>5 х 80</t>
  </si>
  <si>
    <t>00866</t>
  </si>
  <si>
    <t>8 х 200</t>
  </si>
  <si>
    <t>00939</t>
  </si>
  <si>
    <t>5 х 90</t>
  </si>
  <si>
    <t>00867</t>
  </si>
  <si>
    <t>10 х 100</t>
  </si>
  <si>
    <t>00943</t>
  </si>
  <si>
    <t>00868</t>
  </si>
  <si>
    <t>10 х 120</t>
  </si>
  <si>
    <t>00944</t>
  </si>
  <si>
    <t>00869</t>
  </si>
  <si>
    <t>10 х 140</t>
  </si>
  <si>
    <t>00945</t>
  </si>
  <si>
    <t>00870</t>
  </si>
  <si>
    <t>10 х 160</t>
  </si>
  <si>
    <t>00940</t>
  </si>
  <si>
    <t>00871</t>
  </si>
  <si>
    <t>10 х 180</t>
  </si>
  <si>
    <t>00941</t>
  </si>
  <si>
    <t>6 х 80</t>
  </si>
  <si>
    <t>00900</t>
  </si>
  <si>
    <t>10 х 200</t>
  </si>
  <si>
    <t>00942</t>
  </si>
  <si>
    <t>6 х 90</t>
  </si>
  <si>
    <t>00872</t>
  </si>
  <si>
    <t>10 х 240</t>
  </si>
  <si>
    <t>00946</t>
  </si>
  <si>
    <t>00873</t>
  </si>
  <si>
    <t>10 х 260</t>
  </si>
  <si>
    <t>00874</t>
  </si>
  <si>
    <t>10 х 300</t>
  </si>
  <si>
    <t>00901</t>
  </si>
  <si>
    <t>12 х 200</t>
  </si>
  <si>
    <t>00875</t>
  </si>
  <si>
    <t>12 х 240</t>
  </si>
  <si>
    <t>00876</t>
  </si>
  <si>
    <t>12 х 300</t>
  </si>
  <si>
    <t xml:space="preserve">Саморезы потай круп. шаг по дереву (чёрные) </t>
  </si>
  <si>
    <t>Пластина соединительная PS</t>
  </si>
  <si>
    <t>00992</t>
  </si>
  <si>
    <t>40 х 100</t>
  </si>
  <si>
    <t>00947</t>
  </si>
  <si>
    <t>00993</t>
  </si>
  <si>
    <t>40 х 120</t>
  </si>
  <si>
    <t>00948</t>
  </si>
  <si>
    <t>00994</t>
  </si>
  <si>
    <t>60 х 140</t>
  </si>
  <si>
    <t>00949</t>
  </si>
  <si>
    <t>00995</t>
  </si>
  <si>
    <t>60 х 200</t>
  </si>
  <si>
    <t>00955</t>
  </si>
  <si>
    <t>3,5 х 31</t>
  </si>
  <si>
    <t>00996</t>
  </si>
  <si>
    <t>100 х 200</t>
  </si>
  <si>
    <t>00950</t>
  </si>
  <si>
    <t>00997</t>
  </si>
  <si>
    <t>100 х 240</t>
  </si>
  <si>
    <t>00956</t>
  </si>
  <si>
    <t>00998</t>
  </si>
  <si>
    <t>100 х 260</t>
  </si>
  <si>
    <t>00957</t>
  </si>
  <si>
    <t xml:space="preserve">Рулетки EFFECTA </t>
  </si>
  <si>
    <t>00958</t>
  </si>
  <si>
    <t>01000</t>
  </si>
  <si>
    <t>Nylon с магнитом, автостопом, нейлон 25 мм / 10 м</t>
  </si>
  <si>
    <t>00959</t>
  </si>
  <si>
    <t>00960</t>
  </si>
  <si>
    <t>01001</t>
  </si>
  <si>
    <t>Nylon с магнитом, автостопом, нейлон 19 мм / 3 м</t>
  </si>
  <si>
    <t>00951</t>
  </si>
  <si>
    <t>3,9 х 70</t>
  </si>
  <si>
    <t>00961</t>
  </si>
  <si>
    <t>4,2 х 75</t>
  </si>
  <si>
    <t>01002</t>
  </si>
  <si>
    <t>Simple 16 мм / 3 м</t>
  </si>
  <si>
    <t>00952</t>
  </si>
  <si>
    <t>00962</t>
  </si>
  <si>
    <t>01004</t>
  </si>
  <si>
    <t>Basic с магнитом 25 мм / 10 м</t>
  </si>
  <si>
    <t>00963</t>
  </si>
  <si>
    <t>4,8 х 100</t>
  </si>
  <si>
    <t>00973</t>
  </si>
  <si>
    <t>01005</t>
  </si>
  <si>
    <t>Basic с магнитом 19 мм / 3 м</t>
  </si>
  <si>
    <t>00953</t>
  </si>
  <si>
    <t>4,8 х 127</t>
  </si>
  <si>
    <t>00954</t>
  </si>
  <si>
    <t>4,8 х 152</t>
  </si>
  <si>
    <t>Диск отрезной по метал. "Луга-абразив"</t>
  </si>
  <si>
    <t xml:space="preserve">Крепежный уголок усиленный KUU </t>
  </si>
  <si>
    <t>00902</t>
  </si>
  <si>
    <t>115 х 1,2 х 22,23</t>
  </si>
  <si>
    <t>00977</t>
  </si>
  <si>
    <t>50 х 50 х 35 х 2,0</t>
  </si>
  <si>
    <t>00903</t>
  </si>
  <si>
    <t>125 х 1,2 х 22,23</t>
  </si>
  <si>
    <t>00991</t>
  </si>
  <si>
    <t>70 х 70 х 55 х 2,0</t>
  </si>
  <si>
    <t>00904</t>
  </si>
  <si>
    <t>125 х 1,6 х 22,23</t>
  </si>
  <si>
    <t>00978</t>
  </si>
  <si>
    <t>90 х 90 х 40 х 2,0</t>
  </si>
  <si>
    <t>00905</t>
  </si>
  <si>
    <t>125 х 2 х 22,23</t>
  </si>
  <si>
    <t>00979</t>
  </si>
  <si>
    <t>90 х 90 х 65 х 2,0</t>
  </si>
  <si>
    <t>00906</t>
  </si>
  <si>
    <t>125 х 2,5 х 22,23</t>
  </si>
  <si>
    <t>00980</t>
  </si>
  <si>
    <t>105 х 105 х 90 х 2,0</t>
  </si>
  <si>
    <t>00907</t>
  </si>
  <si>
    <t>150 х 1,6 х 22,23</t>
  </si>
  <si>
    <t>00981</t>
  </si>
  <si>
    <t>130 х 130 х 100 х 2,0</t>
  </si>
  <si>
    <t>00908</t>
  </si>
  <si>
    <t>150 х 2,5 х 22,23</t>
  </si>
  <si>
    <t>00887</t>
  </si>
  <si>
    <t>140 х 140 х 140 х 2,0</t>
  </si>
  <si>
    <t>00909</t>
  </si>
  <si>
    <t>180 х 1,6 х 22,23</t>
  </si>
  <si>
    <t xml:space="preserve">Крепежный уголок равносторонний KUR </t>
  </si>
  <si>
    <t>00910</t>
  </si>
  <si>
    <t>180 х 2,5 х 22,23</t>
  </si>
  <si>
    <t>00888</t>
  </si>
  <si>
    <t>30 х 30 х 30</t>
  </si>
  <si>
    <t>00890</t>
  </si>
  <si>
    <t>40 х 40 х 20</t>
  </si>
  <si>
    <t>00889</t>
  </si>
  <si>
    <t>40 х 40 х 40</t>
  </si>
  <si>
    <t>00891</t>
  </si>
  <si>
    <t>50 х 50 х 50</t>
  </si>
  <si>
    <t xml:space="preserve">Крепежный уголок KU </t>
  </si>
  <si>
    <t>00982</t>
  </si>
  <si>
    <t>00983</t>
  </si>
  <si>
    <t>00984</t>
  </si>
  <si>
    <t>00985</t>
  </si>
  <si>
    <t>00986</t>
  </si>
  <si>
    <t xml:space="preserve">Опора бруса OBR-R </t>
  </si>
  <si>
    <t>00987</t>
  </si>
  <si>
    <t>41 х 110 х 2</t>
  </si>
  <si>
    <t>00988</t>
  </si>
  <si>
    <t>50 х 107 х 2</t>
  </si>
  <si>
    <t>00892</t>
  </si>
  <si>
    <t>50 х 140</t>
  </si>
  <si>
    <t>00989</t>
  </si>
  <si>
    <t>50 х 165 х 2</t>
  </si>
  <si>
    <t>00999</t>
  </si>
  <si>
    <t>50 х 185</t>
  </si>
  <si>
    <t>00893</t>
  </si>
  <si>
    <t>100 х 100</t>
  </si>
  <si>
    <t>00894</t>
  </si>
  <si>
    <t>100 х 140</t>
  </si>
  <si>
    <t>00896</t>
  </si>
  <si>
    <t>00990</t>
  </si>
  <si>
    <t>150 х 150 х 2</t>
  </si>
  <si>
    <t>12,5х96х2700 сорт С</t>
  </si>
  <si>
    <t>12,5х96х2400 сорт С</t>
  </si>
  <si>
    <t>2 сорт 150х200х6000</t>
  </si>
  <si>
    <r>
      <t>2,52 м</t>
    </r>
    <r>
      <rPr>
        <vertAlign val="superscript"/>
        <sz val="36"/>
        <rFont val="Times New Roman"/>
        <family val="1"/>
        <charset val="204"/>
      </rPr>
      <t>2</t>
    </r>
  </si>
  <si>
    <t>Доска сухая строганная 
от 1,5 м до 3 м</t>
  </si>
  <si>
    <t>Раскладка полувалик 15/15/2500</t>
  </si>
  <si>
    <t>Угол наружный гладкий 27/27/2200</t>
  </si>
  <si>
    <t>Нащельник "грибок" 43/3000 сорт А</t>
  </si>
  <si>
    <t>РАСКЛАДКА И НАЩЕЛЬНИК ИЗ ОСИНЫ</t>
  </si>
  <si>
    <t>скидка 10 % на весь антисептик 
(за исключением красной акционной цены)</t>
  </si>
  <si>
    <t>Примечание: прайс является ориентировочным, наличие и конечные цены необходимо уточнять у менеджера</t>
  </si>
  <si>
    <t>наличие и конечные цены необходимо уточнять у менеджера</t>
  </si>
  <si>
    <t>25х200х6000</t>
  </si>
  <si>
    <t>12,5х96х6000 сорт АВ</t>
  </si>
  <si>
    <t>12,5х96х3000 сорт В</t>
  </si>
  <si>
    <t>13х123х6000 сорт АВ</t>
  </si>
  <si>
    <t>13х123х5000 сорт АВ</t>
  </si>
  <si>
    <t>Мебельный щит (подступенька) 18х200х800 сорт АВ</t>
  </si>
  <si>
    <t>Мебельный щит (ступенька) 40х300х800 сорт АВ</t>
  </si>
  <si>
    <t>28х145х6000 сорт ВС</t>
  </si>
  <si>
    <t>38х143х6000 сорт ВС</t>
  </si>
  <si>
    <t>38х190х6000 сорт ВС круглый</t>
  </si>
  <si>
    <t>12,5х96х2300 сорт С</t>
  </si>
  <si>
    <r>
      <t>2,07 м</t>
    </r>
    <r>
      <rPr>
        <vertAlign val="superscript"/>
        <sz val="36"/>
        <rFont val="Times New Roman"/>
        <family val="1"/>
        <charset val="204"/>
      </rPr>
      <t>2</t>
    </r>
  </si>
  <si>
    <t>20х95х2000 сорт С</t>
  </si>
  <si>
    <t>5,3 шт.</t>
  </si>
  <si>
    <t>263,1 шт.</t>
  </si>
  <si>
    <t>3,5 шт.</t>
  </si>
  <si>
    <t xml:space="preserve">ОСП-3, влагостойкая
1250х2500 мм </t>
  </si>
  <si>
    <t>12 мм (г. Могилёв, Кроношпан)</t>
  </si>
  <si>
    <t>4 метровая</t>
  </si>
  <si>
    <t>57х100х4000</t>
  </si>
  <si>
    <t>40х180х6000</t>
  </si>
  <si>
    <t>32х150х2400</t>
  </si>
  <si>
    <t>18х146х6000 сорт ВС</t>
  </si>
  <si>
    <r>
      <t>3,36 м</t>
    </r>
    <r>
      <rPr>
        <b/>
        <vertAlign val="superscript"/>
        <sz val="16"/>
        <color rgb="FFFF0000"/>
        <rFont val="Times New Roman"/>
        <family val="1"/>
        <charset val="204"/>
      </rPr>
      <t>2</t>
    </r>
  </si>
  <si>
    <t>Плинтус фигурный 43/12/2500</t>
  </si>
  <si>
    <t>20х50х2000</t>
  </si>
  <si>
    <t>Наименование</t>
  </si>
  <si>
    <t>Брусок сухой строганый</t>
  </si>
  <si>
    <t xml:space="preserve"> Сорт АВ</t>
  </si>
  <si>
    <t>Сорт С</t>
  </si>
  <si>
    <t>1 сорт</t>
  </si>
  <si>
    <t>2 сорт</t>
  </si>
  <si>
    <r>
      <t>Кол-во 
шт. в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</si>
  <si>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
за шт.</t>
  </si>
  <si>
    <r>
      <t>Цена руб. 
за м</t>
    </r>
    <r>
      <rPr>
        <b/>
        <vertAlign val="superscript"/>
        <sz val="22"/>
        <rFont val="Times New Roman"/>
        <family val="1"/>
        <charset val="204"/>
      </rPr>
      <t>3</t>
    </r>
  </si>
  <si>
    <t>51 шт.</t>
  </si>
  <si>
    <t>35х140х6000 сорт С</t>
  </si>
  <si>
    <t>АКЦИОННЫЙ ЛИСТ</t>
  </si>
  <si>
    <r>
      <t>2,475 м</t>
    </r>
    <r>
      <rPr>
        <vertAlign val="superscript"/>
        <sz val="36"/>
        <rFont val="Times New Roman"/>
        <family val="1"/>
        <charset val="204"/>
      </rPr>
      <t>2</t>
    </r>
  </si>
  <si>
    <t>45х195х3000 сорт АВ</t>
  </si>
  <si>
    <t>1,7 шт.</t>
  </si>
  <si>
    <t>38 шт.</t>
  </si>
  <si>
    <t>Планкен 48х190х3000 сорт АВ</t>
  </si>
  <si>
    <t>36,5 шт.</t>
  </si>
  <si>
    <t>12,5х96х2700 сорт В</t>
  </si>
  <si>
    <t>12,5х96х2700 сорт А</t>
  </si>
  <si>
    <t>2 сорт 100х100х6000</t>
  </si>
  <si>
    <t>Плинтус фигурный 45/11/2500 сорт А</t>
  </si>
  <si>
    <t>Раскладка сфера 35/12/2500 сорт А</t>
  </si>
  <si>
    <t>Наличник гладкий 70/16/2200 сорт А</t>
  </si>
  <si>
    <t>16х90х6000 сорт С</t>
  </si>
  <si>
    <t>50х150х5000</t>
  </si>
  <si>
    <r>
      <t>2,52 м</t>
    </r>
    <r>
      <rPr>
        <vertAlign val="superscript"/>
        <sz val="16"/>
        <rFont val="Times New Roman"/>
        <family val="1"/>
        <charset val="204"/>
      </rPr>
      <t>2</t>
    </r>
  </si>
  <si>
    <r>
      <t>3,36 м</t>
    </r>
    <r>
      <rPr>
        <vertAlign val="superscript"/>
        <sz val="16"/>
        <rFont val="Times New Roman"/>
        <family val="1"/>
        <charset val="204"/>
      </rPr>
      <t>2</t>
    </r>
  </si>
  <si>
    <r>
      <t>4,2 м</t>
    </r>
    <r>
      <rPr>
        <vertAlign val="superscript"/>
        <sz val="16"/>
        <rFont val="Times New Roman"/>
        <family val="1"/>
        <charset val="204"/>
      </rPr>
      <t>2</t>
    </r>
  </si>
  <si>
    <r>
      <t>5,04 м</t>
    </r>
    <r>
      <rPr>
        <vertAlign val="superscript"/>
        <sz val="16"/>
        <rFont val="Times New Roman"/>
        <family val="1"/>
        <charset val="204"/>
      </rPr>
      <t>2</t>
    </r>
  </si>
  <si>
    <r>
      <t>3,6 м</t>
    </r>
    <r>
      <rPr>
        <vertAlign val="superscript"/>
        <sz val="16"/>
        <rFont val="Times New Roman"/>
        <family val="1"/>
        <charset val="204"/>
      </rPr>
      <t>2</t>
    </r>
  </si>
  <si>
    <r>
      <t>4,97 м</t>
    </r>
    <r>
      <rPr>
        <vertAlign val="superscript"/>
        <sz val="16"/>
        <rFont val="Times New Roman"/>
        <family val="1"/>
        <charset val="204"/>
      </rPr>
      <t>2</t>
    </r>
  </si>
  <si>
    <r>
      <t>3,85 м</t>
    </r>
    <r>
      <rPr>
        <vertAlign val="superscript"/>
        <sz val="16"/>
        <rFont val="Times New Roman"/>
        <family val="1"/>
        <charset val="204"/>
      </rPr>
      <t>2</t>
    </r>
  </si>
  <si>
    <r>
      <t>2,025 м</t>
    </r>
    <r>
      <rPr>
        <vertAlign val="superscript"/>
        <sz val="16"/>
        <rFont val="Times New Roman"/>
        <family val="1"/>
        <charset val="204"/>
      </rPr>
      <t>2</t>
    </r>
  </si>
  <si>
    <r>
      <t>3,375 м</t>
    </r>
    <r>
      <rPr>
        <vertAlign val="superscript"/>
        <sz val="16"/>
        <rFont val="Times New Roman"/>
        <family val="1"/>
        <charset val="204"/>
      </rPr>
      <t>2</t>
    </r>
  </si>
  <si>
    <r>
      <t>4,05 м</t>
    </r>
    <r>
      <rPr>
        <vertAlign val="superscript"/>
        <sz val="16"/>
        <rFont val="Times New Roman"/>
        <family val="1"/>
        <charset val="204"/>
      </rPr>
      <t>2</t>
    </r>
  </si>
  <si>
    <r>
      <t>2,8 м</t>
    </r>
    <r>
      <rPr>
        <vertAlign val="superscript"/>
        <sz val="16"/>
        <rFont val="Times New Roman"/>
        <family val="1"/>
        <charset val="204"/>
      </rPr>
      <t>2</t>
    </r>
  </si>
  <si>
    <r>
      <t>3,5 м</t>
    </r>
    <r>
      <rPr>
        <vertAlign val="superscript"/>
        <sz val="16"/>
        <rFont val="Times New Roman"/>
        <family val="1"/>
        <charset val="204"/>
      </rPr>
      <t>2</t>
    </r>
  </si>
  <si>
    <r>
      <t>1,62 м</t>
    </r>
    <r>
      <rPr>
        <vertAlign val="superscript"/>
        <sz val="16"/>
        <rFont val="Times New Roman"/>
        <family val="1"/>
        <charset val="204"/>
      </rPr>
      <t>2</t>
    </r>
  </si>
  <si>
    <r>
      <t>2,16 м</t>
    </r>
    <r>
      <rPr>
        <vertAlign val="superscript"/>
        <sz val="16"/>
        <rFont val="Times New Roman"/>
        <family val="1"/>
        <charset val="204"/>
      </rPr>
      <t>2</t>
    </r>
  </si>
  <si>
    <r>
      <t>2,7 м</t>
    </r>
    <r>
      <rPr>
        <vertAlign val="superscript"/>
        <sz val="16"/>
        <rFont val="Times New Roman"/>
        <family val="1"/>
        <charset val="204"/>
      </rPr>
      <t>2</t>
    </r>
  </si>
  <si>
    <r>
      <t>3,24 м</t>
    </r>
    <r>
      <rPr>
        <vertAlign val="superscript"/>
        <sz val="16"/>
        <rFont val="Times New Roman"/>
        <family val="1"/>
        <charset val="204"/>
      </rPr>
      <t>2</t>
    </r>
  </si>
  <si>
    <t>1 сорт 57х100х4000 12 000 рублей за куб</t>
  </si>
  <si>
    <t>9 мм (Талион)</t>
  </si>
  <si>
    <r>
      <t>4,914 м</t>
    </r>
    <r>
      <rPr>
        <vertAlign val="superscript"/>
        <sz val="36"/>
        <rFont val="Times New Roman"/>
        <family val="1"/>
        <charset val="204"/>
      </rPr>
      <t>2</t>
    </r>
  </si>
  <si>
    <r>
      <t>4,095 м</t>
    </r>
    <r>
      <rPr>
        <vertAlign val="superscript"/>
        <sz val="36"/>
        <rFont val="Times New Roman"/>
        <family val="1"/>
        <charset val="204"/>
      </rPr>
      <t>2</t>
    </r>
  </si>
  <si>
    <r>
      <t>2,457 м</t>
    </r>
    <r>
      <rPr>
        <vertAlign val="superscript"/>
        <sz val="36"/>
        <rFont val="Times New Roman"/>
        <family val="1"/>
        <charset val="204"/>
      </rPr>
      <t>2</t>
    </r>
  </si>
  <si>
    <t>13х123х4000 сорт АВ</t>
  </si>
  <si>
    <r>
      <t>3,276 м</t>
    </r>
    <r>
      <rPr>
        <vertAlign val="superscript"/>
        <sz val="36"/>
        <rFont val="Times New Roman"/>
        <family val="1"/>
        <charset val="204"/>
      </rPr>
      <t>2</t>
    </r>
  </si>
  <si>
    <t xml:space="preserve">20х145х3000 сорт С </t>
  </si>
  <si>
    <t>18х146х5500 сорт А</t>
  </si>
  <si>
    <t>21х146х6000 сорт А</t>
  </si>
  <si>
    <t xml:space="preserve">21х146х5500 сорт А </t>
  </si>
  <si>
    <t xml:space="preserve">21х146х5000 сорт А </t>
  </si>
  <si>
    <t>18х146х5000 сорт А</t>
  </si>
  <si>
    <t>18х146х6000 сорт А</t>
  </si>
  <si>
    <t>Прайс-лист от 24.01.2024 г.</t>
  </si>
  <si>
    <t>35х140х5000 сорт С</t>
  </si>
  <si>
    <t>12,5х96х2300 сорт АВ</t>
  </si>
  <si>
    <t xml:space="preserve">20х145х4000 сорт АВ </t>
  </si>
  <si>
    <t>12,5х96х2100 сорт В</t>
  </si>
  <si>
    <t>12,5х96х2500 сорт В</t>
  </si>
  <si>
    <t>Прайс-лист от 06.03.2024 г.</t>
  </si>
  <si>
    <t>20х96х3000 сорт С</t>
  </si>
  <si>
    <t>173,6 шт.</t>
  </si>
  <si>
    <t>20х96х2000 сорт АВ</t>
  </si>
  <si>
    <t>20х96х2100 сорт АВ</t>
  </si>
  <si>
    <t>260,4 шт.</t>
  </si>
  <si>
    <t>248 шт.</t>
  </si>
  <si>
    <t>4,9 шт.</t>
  </si>
  <si>
    <t>Пн-Пт: с 9:00 до 18:00</t>
  </si>
  <si>
    <t>(цена за безнальный расчёт +6,5% от цены прайса)</t>
  </si>
  <si>
    <t>25х150х4000</t>
  </si>
  <si>
    <t>\</t>
  </si>
  <si>
    <t>Плинтус гладкий 20/12/2500</t>
  </si>
  <si>
    <t>ИМИТАЦИЯ БРУСА</t>
  </si>
  <si>
    <t>100х200х2000</t>
  </si>
  <si>
    <t>В наличии пиломатериал 
ДИСКОВОГО напила 
по цене 18 500 руб/куб</t>
  </si>
  <si>
    <t>Прайс-лист от 20.04.2024 г.</t>
  </si>
  <si>
    <t>(цена за безнальный расчёт +1000 руб/куб от цены прайса)</t>
  </si>
  <si>
    <t>21х146х6000 сорт ВС</t>
  </si>
  <si>
    <t>Прайс-лист от 25.04.2024 г.</t>
  </si>
</sst>
</file>

<file path=xl/styles.xml><?xml version="1.0" encoding="utf-8"?>
<styleSheet xmlns="http://schemas.openxmlformats.org/spreadsheetml/2006/main">
  <numFmts count="4">
    <numFmt numFmtId="44" formatCode="_-* #,##0.00&quot;р.&quot;_-;\-* #,##0.00&quot;р.&quot;_-;_-* &quot;-&quot;??&quot;р.&quot;_-;_-@_-"/>
    <numFmt numFmtId="164" formatCode="#,##0.00&quot;р.&quot;"/>
    <numFmt numFmtId="165" formatCode="#,##0&quot;р.&quot;"/>
    <numFmt numFmtId="166" formatCode="#,##0\ &quot;₽&quot;"/>
  </numFmts>
  <fonts count="76"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8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72"/>
      <name val="Arial Cyr"/>
      <charset val="204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b/>
      <vertAlign val="superscript"/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8"/>
      <name val="Arial Cyr"/>
      <charset val="204"/>
    </font>
    <font>
      <b/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u/>
      <sz val="16"/>
      <name val="Times New Roman"/>
      <family val="1"/>
      <charset val="204"/>
    </font>
    <font>
      <sz val="16"/>
      <color rgb="FFFF0000"/>
      <name val="Arial Cyr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36"/>
      <name val="Times New Roman"/>
      <family val="1"/>
      <charset val="204"/>
    </font>
    <font>
      <sz val="12"/>
      <name val="Arial Cyr"/>
      <charset val="204"/>
    </font>
    <font>
      <b/>
      <sz val="48"/>
      <name val="Times New Roman"/>
      <family val="1"/>
      <charset val="204"/>
    </font>
    <font>
      <sz val="32"/>
      <name val="Times New Roman"/>
      <family val="1"/>
      <charset val="204"/>
    </font>
    <font>
      <sz val="26"/>
      <name val="Times New Roman"/>
      <family val="1"/>
      <charset val="204"/>
    </font>
    <font>
      <sz val="26"/>
      <name val="Arial Cyr"/>
      <charset val="204"/>
    </font>
    <font>
      <b/>
      <i/>
      <sz val="26"/>
      <name val="Times New Roman"/>
      <family val="1"/>
      <charset val="204"/>
    </font>
    <font>
      <b/>
      <vertAlign val="superscript"/>
      <sz val="22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 Cyr"/>
      <charset val="204"/>
    </font>
    <font>
      <b/>
      <sz val="16"/>
      <color rgb="FFFF0000"/>
      <name val="Times New Roman"/>
      <family val="1"/>
      <charset val="204"/>
    </font>
    <font>
      <b/>
      <vertAlign val="superscript"/>
      <sz val="28"/>
      <name val="Times New Roman"/>
      <family val="1"/>
      <charset val="204"/>
    </font>
    <font>
      <sz val="29"/>
      <name val="Times New Roman"/>
      <family val="1"/>
      <charset val="204"/>
    </font>
    <font>
      <sz val="28"/>
      <name val="Times New Roman"/>
      <family val="1"/>
      <charset val="204"/>
    </font>
    <font>
      <sz val="50"/>
      <name val="Times New Roman"/>
      <family val="1"/>
      <charset val="204"/>
    </font>
    <font>
      <sz val="13"/>
      <name val="Times New Roman"/>
      <family val="1"/>
      <charset val="204"/>
    </font>
    <font>
      <sz val="48"/>
      <name val="Times New Roman"/>
      <family val="1"/>
      <charset val="204"/>
    </font>
    <font>
      <u/>
      <sz val="26"/>
      <name val="Times New Roman"/>
      <family val="1"/>
      <charset val="204"/>
    </font>
    <font>
      <vertAlign val="superscript"/>
      <sz val="36"/>
      <name val="Times New Roman"/>
      <family val="1"/>
      <charset val="204"/>
    </font>
    <font>
      <sz val="11"/>
      <name val="Calibri"/>
      <family val="2"/>
      <charset val="204"/>
    </font>
    <font>
      <sz val="20"/>
      <name val="Times New Roman"/>
      <family val="1"/>
      <charset val="204"/>
    </font>
    <font>
      <b/>
      <vertAlign val="superscript"/>
      <sz val="16"/>
      <color rgb="FFFF0000"/>
      <name val="Times New Roman"/>
      <family val="1"/>
      <charset val="204"/>
    </font>
    <font>
      <sz val="29"/>
      <color rgb="FFFF0000"/>
      <name val="Times New Roman"/>
      <family val="1"/>
      <charset val="204"/>
    </font>
    <font>
      <u/>
      <sz val="24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sz val="22"/>
      <name val="Arial Cyr"/>
      <charset val="204"/>
    </font>
    <font>
      <u/>
      <sz val="18"/>
      <name val="Times New Roman"/>
      <family val="1"/>
      <charset val="204"/>
    </font>
    <font>
      <u/>
      <sz val="36"/>
      <name val="Times New Roman"/>
      <family val="1"/>
      <charset val="204"/>
    </font>
    <font>
      <sz val="36"/>
      <color rgb="FFFF0000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name val="Arial Cyr"/>
      <family val="2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sz val="16"/>
      <color rgb="FF0070C0"/>
      <name val="Arial Cyr"/>
      <charset val="204"/>
    </font>
    <font>
      <sz val="16"/>
      <color rgb="FF0070C0"/>
      <name val="Times New Roman"/>
      <family val="1"/>
      <charset val="204"/>
    </font>
    <font>
      <b/>
      <sz val="36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59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0" applyFont="1"/>
    <xf numFmtId="0" fontId="5" fillId="0" borderId="0" xfId="0" applyFont="1"/>
    <xf numFmtId="0" fontId="10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/>
    </xf>
    <xf numFmtId="165" fontId="12" fillId="0" borderId="12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3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165" fontId="0" fillId="0" borderId="0" xfId="0" applyNumberFormat="1"/>
    <xf numFmtId="165" fontId="4" fillId="0" borderId="0" xfId="0" applyNumberFormat="1" applyFont="1"/>
    <xf numFmtId="0" fontId="24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27" fillId="0" borderId="0" xfId="0" applyFont="1"/>
    <xf numFmtId="165" fontId="12" fillId="0" borderId="1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165" fontId="12" fillId="0" borderId="7" xfId="0" applyNumberFormat="1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33" xfId="0" applyFont="1" applyBorder="1" applyAlignment="1">
      <alignment horizontal="left" vertical="center" wrapText="1"/>
    </xf>
    <xf numFmtId="0" fontId="12" fillId="0" borderId="18" xfId="0" applyFont="1" applyBorder="1" applyAlignment="1">
      <alignment vertical="center" wrapText="1"/>
    </xf>
    <xf numFmtId="0" fontId="12" fillId="0" borderId="10" xfId="0" applyFont="1" applyBorder="1" applyAlignment="1">
      <alignment horizontal="left" vertical="center"/>
    </xf>
    <xf numFmtId="0" fontId="37" fillId="0" borderId="0" xfId="0" applyFont="1"/>
    <xf numFmtId="165" fontId="37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9" fillId="0" borderId="0" xfId="0" applyFont="1"/>
    <xf numFmtId="0" fontId="38" fillId="0" borderId="14" xfId="0" applyFont="1" applyBorder="1" applyAlignment="1">
      <alignment horizontal="center" vertical="center" wrapText="1"/>
    </xf>
    <xf numFmtId="165" fontId="38" fillId="0" borderId="11" xfId="0" applyNumberFormat="1" applyFont="1" applyBorder="1" applyAlignment="1">
      <alignment horizontal="center" vertical="center" wrapText="1"/>
    </xf>
    <xf numFmtId="165" fontId="38" fillId="0" borderId="11" xfId="1" applyNumberFormat="1" applyFont="1" applyBorder="1" applyAlignment="1">
      <alignment horizontal="center" vertical="center" wrapText="1"/>
    </xf>
    <xf numFmtId="0" fontId="38" fillId="0" borderId="0" xfId="0" applyFont="1"/>
    <xf numFmtId="0" fontId="38" fillId="0" borderId="15" xfId="0" applyFont="1" applyBorder="1" applyAlignment="1">
      <alignment horizontal="center" vertical="center" wrapText="1"/>
    </xf>
    <xf numFmtId="165" fontId="38" fillId="0" borderId="12" xfId="0" applyNumberFormat="1" applyFont="1" applyBorder="1" applyAlignment="1">
      <alignment horizontal="center" vertical="center" wrapText="1"/>
    </xf>
    <xf numFmtId="165" fontId="38" fillId="0" borderId="12" xfId="1" applyNumberFormat="1" applyFont="1" applyBorder="1" applyAlignment="1">
      <alignment horizontal="center" vertical="center" wrapText="1"/>
    </xf>
    <xf numFmtId="0" fontId="12" fillId="0" borderId="33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43" fillId="0" borderId="0" xfId="0" applyFont="1"/>
    <xf numFmtId="0" fontId="2" fillId="0" borderId="0" xfId="0" applyFont="1" applyAlignment="1">
      <alignment horizontal="right" vertical="center"/>
    </xf>
    <xf numFmtId="165" fontId="38" fillId="0" borderId="19" xfId="1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65" fontId="34" fillId="0" borderId="12" xfId="0" applyNumberFormat="1" applyFont="1" applyBorder="1" applyAlignment="1">
      <alignment horizontal="center" vertical="center"/>
    </xf>
    <xf numFmtId="165" fontId="34" fillId="0" borderId="11" xfId="0" applyNumberFormat="1" applyFont="1" applyBorder="1" applyAlignment="1">
      <alignment horizontal="center" vertical="center"/>
    </xf>
    <xf numFmtId="165" fontId="34" fillId="0" borderId="22" xfId="0" applyNumberFormat="1" applyFont="1" applyBorder="1" applyAlignment="1">
      <alignment horizontal="center" vertical="center"/>
    </xf>
    <xf numFmtId="165" fontId="34" fillId="0" borderId="19" xfId="0" applyNumberFormat="1" applyFont="1" applyBorder="1" applyAlignment="1">
      <alignment horizontal="center" vertical="center"/>
    </xf>
    <xf numFmtId="165" fontId="34" fillId="0" borderId="34" xfId="0" applyNumberFormat="1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165" fontId="46" fillId="0" borderId="11" xfId="0" applyNumberFormat="1" applyFont="1" applyBorder="1" applyAlignment="1">
      <alignment horizontal="center" vertical="center"/>
    </xf>
    <xf numFmtId="165" fontId="46" fillId="0" borderId="17" xfId="0" applyNumberFormat="1" applyFont="1" applyBorder="1" applyAlignment="1">
      <alignment horizontal="center" vertical="center"/>
    </xf>
    <xf numFmtId="0" fontId="46" fillId="0" borderId="0" xfId="0" applyFont="1"/>
    <xf numFmtId="0" fontId="46" fillId="0" borderId="12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165" fontId="46" fillId="0" borderId="12" xfId="0" applyNumberFormat="1" applyFont="1" applyBorder="1" applyAlignment="1">
      <alignment horizontal="center" vertical="center"/>
    </xf>
    <xf numFmtId="165" fontId="46" fillId="0" borderId="8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165" fontId="46" fillId="0" borderId="5" xfId="0" applyNumberFormat="1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165" fontId="46" fillId="0" borderId="13" xfId="0" applyNumberFormat="1" applyFont="1" applyBorder="1" applyAlignment="1">
      <alignment horizontal="center" vertical="center"/>
    </xf>
    <xf numFmtId="165" fontId="46" fillId="0" borderId="26" xfId="0" applyNumberFormat="1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12" fillId="0" borderId="14" xfId="0" applyFont="1" applyBorder="1" applyAlignment="1">
      <alignment horizontal="left" vertical="center" wrapText="1"/>
    </xf>
    <xf numFmtId="165" fontId="12" fillId="0" borderId="5" xfId="0" applyNumberFormat="1" applyFont="1" applyBorder="1" applyAlignment="1">
      <alignment horizontal="center" vertical="center" wrapText="1"/>
    </xf>
    <xf numFmtId="165" fontId="12" fillId="0" borderId="22" xfId="1" applyNumberFormat="1" applyFont="1" applyBorder="1" applyAlignment="1">
      <alignment horizontal="center" vertical="center" wrapText="1"/>
    </xf>
    <xf numFmtId="165" fontId="12" fillId="0" borderId="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left" vertical="center" wrapText="1"/>
    </xf>
    <xf numFmtId="165" fontId="12" fillId="0" borderId="34" xfId="1" applyNumberFormat="1" applyFont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5" fontId="2" fillId="3" borderId="32" xfId="0" applyNumberFormat="1" applyFont="1" applyFill="1" applyBorder="1" applyAlignment="1">
      <alignment horizontal="center" vertical="center" wrapText="1"/>
    </xf>
    <xf numFmtId="165" fontId="12" fillId="3" borderId="19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5" fontId="2" fillId="3" borderId="0" xfId="0" applyNumberFormat="1" applyFont="1" applyFill="1" applyAlignment="1">
      <alignment horizontal="center" vertical="center" wrapText="1"/>
    </xf>
    <xf numFmtId="165" fontId="12" fillId="3" borderId="28" xfId="1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165" fontId="12" fillId="3" borderId="12" xfId="1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5" fontId="2" fillId="3" borderId="30" xfId="0" applyNumberFormat="1" applyFont="1" applyFill="1" applyBorder="1" applyAlignment="1">
      <alignment horizontal="center" vertical="center" wrapText="1"/>
    </xf>
    <xf numFmtId="165" fontId="12" fillId="3" borderId="13" xfId="1" applyNumberFormat="1" applyFont="1" applyFill="1" applyBorder="1" applyAlignment="1">
      <alignment horizontal="center" vertical="center" wrapText="1"/>
    </xf>
    <xf numFmtId="165" fontId="2" fillId="3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2" fillId="0" borderId="25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9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3" fillId="0" borderId="11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49" fillId="0" borderId="28" xfId="0" applyFont="1" applyBorder="1" applyAlignment="1">
      <alignment vertical="center"/>
    </xf>
    <xf numFmtId="0" fontId="13" fillId="0" borderId="33" xfId="0" applyFont="1" applyBorder="1" applyAlignment="1">
      <alignment horizontal="left" vertical="center"/>
    </xf>
    <xf numFmtId="0" fontId="12" fillId="0" borderId="31" xfId="0" applyFont="1" applyBorder="1" applyAlignment="1">
      <alignment horizontal="center" vertical="center"/>
    </xf>
    <xf numFmtId="0" fontId="13" fillId="0" borderId="18" xfId="0" applyFont="1" applyBorder="1" applyAlignment="1">
      <alignment horizontal="left" vertical="center"/>
    </xf>
    <xf numFmtId="0" fontId="12" fillId="0" borderId="30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0" fontId="12" fillId="3" borderId="0" xfId="0" applyFont="1" applyFill="1" applyAlignment="1">
      <alignment horizontal="center" vertical="center" wrapText="1"/>
    </xf>
    <xf numFmtId="165" fontId="12" fillId="3" borderId="0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165" fontId="12" fillId="0" borderId="28" xfId="0" applyNumberFormat="1" applyFont="1" applyBorder="1" applyAlignment="1">
      <alignment horizontal="center" vertical="center"/>
    </xf>
    <xf numFmtId="165" fontId="12" fillId="0" borderId="6" xfId="0" applyNumberFormat="1" applyFont="1" applyBorder="1" applyAlignment="1">
      <alignment horizontal="center" vertical="center"/>
    </xf>
    <xf numFmtId="165" fontId="12" fillId="0" borderId="5" xfId="0" applyNumberFormat="1" applyFont="1" applyBorder="1" applyAlignment="1">
      <alignment horizontal="center" vertical="center"/>
    </xf>
    <xf numFmtId="165" fontId="12" fillId="0" borderId="4" xfId="0" applyNumberFormat="1" applyFont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165" fontId="34" fillId="0" borderId="1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wrapText="1"/>
    </xf>
    <xf numFmtId="0" fontId="50" fillId="0" borderId="14" xfId="0" applyFont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5" fontId="25" fillId="2" borderId="5" xfId="0" applyNumberFormat="1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/>
    </xf>
    <xf numFmtId="164" fontId="34" fillId="0" borderId="11" xfId="0" applyNumberFormat="1" applyFont="1" applyBorder="1" applyAlignment="1">
      <alignment horizontal="center"/>
    </xf>
    <xf numFmtId="0" fontId="12" fillId="0" borderId="24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4" fillId="0" borderId="8" xfId="0" applyFont="1" applyBorder="1" applyAlignment="1">
      <alignment horizontal="center"/>
    </xf>
    <xf numFmtId="165" fontId="54" fillId="0" borderId="34" xfId="0" applyNumberFormat="1" applyFont="1" applyBorder="1" applyAlignment="1">
      <alignment horizontal="center" vertical="center"/>
    </xf>
    <xf numFmtId="0" fontId="53" fillId="0" borderId="16" xfId="0" applyFont="1" applyBorder="1"/>
    <xf numFmtId="0" fontId="0" fillId="0" borderId="24" xfId="0" applyBorder="1"/>
    <xf numFmtId="0" fontId="54" fillId="0" borderId="19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165" fontId="54" fillId="0" borderId="21" xfId="0" applyNumberFormat="1" applyFont="1" applyBorder="1" applyAlignment="1">
      <alignment horizontal="center" vertical="center"/>
    </xf>
    <xf numFmtId="165" fontId="54" fillId="0" borderId="3" xfId="0" applyNumberFormat="1" applyFont="1" applyBorder="1" applyAlignment="1">
      <alignment horizontal="center" vertical="center"/>
    </xf>
    <xf numFmtId="165" fontId="54" fillId="0" borderId="2" xfId="0" applyNumberFormat="1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165" fontId="38" fillId="0" borderId="6" xfId="1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vertical="center"/>
    </xf>
    <xf numFmtId="165" fontId="38" fillId="0" borderId="22" xfId="1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 wrapText="1"/>
    </xf>
    <xf numFmtId="165" fontId="38" fillId="0" borderId="0" xfId="1" applyNumberFormat="1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46" fillId="0" borderId="22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46" fillId="0" borderId="22" xfId="0" applyNumberFormat="1" applyFont="1" applyBorder="1" applyAlignment="1">
      <alignment horizontal="center" vertical="center"/>
    </xf>
    <xf numFmtId="165" fontId="38" fillId="0" borderId="6" xfId="0" applyNumberFormat="1" applyFont="1" applyBorder="1" applyAlignment="1">
      <alignment horizontal="center" vertical="center" wrapText="1"/>
    </xf>
    <xf numFmtId="165" fontId="12" fillId="0" borderId="3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165" fontId="56" fillId="0" borderId="13" xfId="0" applyNumberFormat="1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4" fillId="0" borderId="17" xfId="0" applyFont="1" applyBorder="1" applyAlignment="1">
      <alignment horizontal="center"/>
    </xf>
    <xf numFmtId="0" fontId="36" fillId="3" borderId="0" xfId="0" applyFont="1" applyFill="1" applyAlignment="1">
      <alignment horizontal="center" vertical="center" wrapText="1"/>
    </xf>
    <xf numFmtId="165" fontId="50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60" fillId="0" borderId="0" xfId="0" applyFont="1"/>
    <xf numFmtId="0" fontId="56" fillId="0" borderId="8" xfId="0" applyFont="1" applyBorder="1" applyAlignment="1">
      <alignment horizontal="center" vertical="center"/>
    </xf>
    <xf numFmtId="165" fontId="56" fillId="0" borderId="12" xfId="0" applyNumberFormat="1" applyFont="1" applyBorder="1" applyAlignment="1">
      <alignment horizontal="center" vertical="center"/>
    </xf>
    <xf numFmtId="165" fontId="56" fillId="0" borderId="11" xfId="0" applyNumberFormat="1" applyFont="1" applyBorder="1" applyAlignment="1">
      <alignment horizontal="center" vertical="center"/>
    </xf>
    <xf numFmtId="165" fontId="56" fillId="0" borderId="6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165" fontId="46" fillId="0" borderId="6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165" fontId="44" fillId="3" borderId="5" xfId="0" applyNumberFormat="1" applyFont="1" applyFill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165" fontId="27" fillId="0" borderId="6" xfId="0" applyNumberFormat="1" applyFont="1" applyBorder="1" applyAlignment="1">
      <alignment horizontal="center" vertical="center" wrapText="1"/>
    </xf>
    <xf numFmtId="165" fontId="27" fillId="0" borderId="12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165" fontId="54" fillId="0" borderId="20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0" xfId="0" applyFont="1"/>
    <xf numFmtId="0" fontId="27" fillId="0" borderId="17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3" fillId="3" borderId="11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166" fontId="0" fillId="0" borderId="0" xfId="0" applyNumberFormat="1"/>
    <xf numFmtId="0" fontId="66" fillId="0" borderId="36" xfId="0" applyFont="1" applyBorder="1" applyAlignment="1">
      <alignment horizontal="left" vertical="center" wrapText="1"/>
    </xf>
    <xf numFmtId="0" fontId="66" fillId="0" borderId="36" xfId="0" applyFont="1" applyBorder="1" applyAlignment="1">
      <alignment horizontal="center" vertical="center"/>
    </xf>
    <xf numFmtId="49" fontId="66" fillId="0" borderId="36" xfId="0" applyNumberFormat="1" applyFont="1" applyBorder="1" applyAlignment="1">
      <alignment horizontal="left" vertical="center" wrapText="1"/>
    </xf>
    <xf numFmtId="165" fontId="66" fillId="0" borderId="36" xfId="0" applyNumberFormat="1" applyFont="1" applyBorder="1" applyAlignment="1">
      <alignment vertical="center"/>
    </xf>
    <xf numFmtId="165" fontId="38" fillId="0" borderId="30" xfId="0" applyNumberFormat="1" applyFont="1" applyBorder="1" applyAlignment="1">
      <alignment horizontal="center" vertical="center" wrapText="1"/>
    </xf>
    <xf numFmtId="165" fontId="38" fillId="0" borderId="17" xfId="0" applyNumberFormat="1" applyFont="1" applyBorder="1" applyAlignment="1">
      <alignment horizontal="center" vertical="center" wrapText="1"/>
    </xf>
    <xf numFmtId="165" fontId="46" fillId="0" borderId="19" xfId="0" applyNumberFormat="1" applyFont="1" applyBorder="1" applyAlignment="1">
      <alignment horizontal="center" vertical="center"/>
    </xf>
    <xf numFmtId="165" fontId="46" fillId="0" borderId="2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165" fontId="66" fillId="0" borderId="0" xfId="0" applyNumberFormat="1" applyFont="1" applyAlignment="1">
      <alignment vertical="center"/>
    </xf>
    <xf numFmtId="0" fontId="69" fillId="0" borderId="0" xfId="0" applyFont="1"/>
    <xf numFmtId="0" fontId="70" fillId="0" borderId="0" xfId="0" applyFont="1"/>
    <xf numFmtId="0" fontId="12" fillId="0" borderId="16" xfId="0" applyFont="1" applyBorder="1" applyAlignment="1">
      <alignment vertical="center"/>
    </xf>
    <xf numFmtId="0" fontId="34" fillId="0" borderId="8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5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38" fillId="0" borderId="25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38" fillId="0" borderId="25" xfId="0" applyFont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34" fillId="0" borderId="6" xfId="0" applyFont="1" applyBorder="1" applyAlignment="1">
      <alignment vertical="center"/>
    </xf>
    <xf numFmtId="165" fontId="34" fillId="0" borderId="6" xfId="0" applyNumberFormat="1" applyFont="1" applyBorder="1" applyAlignment="1">
      <alignment horizontal="center" vertical="center"/>
    </xf>
    <xf numFmtId="0" fontId="46" fillId="0" borderId="12" xfId="0" applyFont="1" applyBorder="1" applyAlignment="1">
      <alignment horizontal="center" wrapText="1"/>
    </xf>
    <xf numFmtId="0" fontId="46" fillId="0" borderId="13" xfId="0" applyFont="1" applyBorder="1" applyAlignment="1">
      <alignment horizontal="center" wrapText="1"/>
    </xf>
    <xf numFmtId="0" fontId="65" fillId="0" borderId="14" xfId="0" applyFont="1" applyBorder="1" applyAlignment="1">
      <alignment vertical="center"/>
    </xf>
    <xf numFmtId="165" fontId="27" fillId="0" borderId="11" xfId="0" applyNumberFormat="1" applyFont="1" applyBorder="1" applyAlignment="1">
      <alignment horizontal="center" vertical="center"/>
    </xf>
    <xf numFmtId="0" fontId="64" fillId="0" borderId="0" xfId="0" applyFont="1" applyAlignment="1">
      <alignment vertical="center" wrapText="1"/>
    </xf>
    <xf numFmtId="0" fontId="73" fillId="0" borderId="0" xfId="0" applyFont="1" applyAlignment="1">
      <alignment wrapText="1"/>
    </xf>
    <xf numFmtId="0" fontId="73" fillId="0" borderId="0" xfId="0" applyFont="1" applyAlignment="1">
      <alignment vertical="center" wrapText="1"/>
    </xf>
    <xf numFmtId="0" fontId="58" fillId="0" borderId="0" xfId="0" applyFont="1" applyAlignment="1">
      <alignment wrapText="1"/>
    </xf>
    <xf numFmtId="0" fontId="63" fillId="0" borderId="0" xfId="0" applyFont="1" applyAlignment="1">
      <alignment wrapText="1"/>
    </xf>
    <xf numFmtId="0" fontId="12" fillId="3" borderId="10" xfId="0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 wrapText="1"/>
    </xf>
    <xf numFmtId="165" fontId="12" fillId="3" borderId="1" xfId="1" applyNumberFormat="1" applyFont="1" applyFill="1" applyBorder="1" applyAlignment="1">
      <alignment horizontal="center" vertical="center" wrapText="1"/>
    </xf>
    <xf numFmtId="165" fontId="38" fillId="2" borderId="9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165" fontId="59" fillId="0" borderId="11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165" fontId="38" fillId="0" borderId="11" xfId="0" applyNumberFormat="1" applyFont="1" applyBorder="1" applyAlignment="1">
      <alignment horizontal="center" vertical="center"/>
    </xf>
    <xf numFmtId="165" fontId="38" fillId="0" borderId="11" xfId="1" applyNumberFormat="1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65" fontId="38" fillId="0" borderId="20" xfId="0" applyNumberFormat="1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165" fontId="38" fillId="2" borderId="9" xfId="1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2" xfId="0" applyNumberFormat="1" applyFont="1" applyBorder="1" applyAlignment="1">
      <alignment horizontal="center" vertical="center"/>
    </xf>
    <xf numFmtId="165" fontId="38" fillId="0" borderId="22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59" fillId="0" borderId="0" xfId="0" applyFont="1"/>
    <xf numFmtId="0" fontId="59" fillId="0" borderId="33" xfId="0" applyFont="1" applyBorder="1" applyAlignment="1">
      <alignment horizontal="center" vertical="center"/>
    </xf>
    <xf numFmtId="165" fontId="59" fillId="0" borderId="19" xfId="0" applyNumberFormat="1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165" fontId="59" fillId="0" borderId="12" xfId="0" applyNumberFormat="1" applyFont="1" applyBorder="1" applyAlignment="1">
      <alignment horizontal="center" vertical="center"/>
    </xf>
    <xf numFmtId="165" fontId="38" fillId="0" borderId="9" xfId="1" applyNumberFormat="1" applyFont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1" applyNumberFormat="1" applyFont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/>
    </xf>
    <xf numFmtId="165" fontId="38" fillId="2" borderId="7" xfId="1" applyNumberFormat="1" applyFont="1" applyFill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165" fontId="38" fillId="0" borderId="33" xfId="0" applyNumberFormat="1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59" fillId="0" borderId="10" xfId="0" applyFont="1" applyBorder="1" applyAlignment="1">
      <alignment horizontal="center" vertical="center"/>
    </xf>
    <xf numFmtId="165" fontId="59" fillId="0" borderId="9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40" fillId="2" borderId="16" xfId="0" applyFont="1" applyFill="1" applyBorder="1" applyAlignment="1">
      <alignment horizontal="center" vertical="center"/>
    </xf>
    <xf numFmtId="165" fontId="38" fillId="2" borderId="32" xfId="1" applyNumberFormat="1" applyFont="1" applyFill="1" applyBorder="1" applyAlignment="1">
      <alignment horizontal="center" vertical="center"/>
    </xf>
    <xf numFmtId="0" fontId="38" fillId="2" borderId="29" xfId="0" applyFont="1" applyFill="1" applyBorder="1" applyAlignment="1">
      <alignment horizontal="center" vertical="center"/>
    </xf>
    <xf numFmtId="165" fontId="38" fillId="0" borderId="14" xfId="0" applyNumberFormat="1" applyFont="1" applyBorder="1" applyAlignment="1">
      <alignment horizontal="center" vertical="center"/>
    </xf>
    <xf numFmtId="165" fontId="38" fillId="0" borderId="15" xfId="0" applyNumberFormat="1" applyFont="1" applyBorder="1" applyAlignment="1">
      <alignment horizontal="center" vertical="center"/>
    </xf>
    <xf numFmtId="165" fontId="38" fillId="0" borderId="24" xfId="0" applyNumberFormat="1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165" fontId="38" fillId="0" borderId="18" xfId="0" applyNumberFormat="1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165" fontId="38" fillId="2" borderId="0" xfId="1" applyNumberFormat="1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165" fontId="59" fillId="0" borderId="3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165" fontId="59" fillId="0" borderId="15" xfId="0" applyNumberFormat="1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165" fontId="38" fillId="2" borderId="30" xfId="1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"/>
    </xf>
    <xf numFmtId="165" fontId="38" fillId="0" borderId="14" xfId="0" applyNumberFormat="1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38" fillId="0" borderId="15" xfId="0" applyFont="1" applyBorder="1" applyAlignment="1">
      <alignment horizontal="center"/>
    </xf>
    <xf numFmtId="165" fontId="38" fillId="0" borderId="15" xfId="0" applyNumberFormat="1" applyFont="1" applyBorder="1" applyAlignment="1">
      <alignment horizontal="center"/>
    </xf>
    <xf numFmtId="0" fontId="42" fillId="2" borderId="5" xfId="0" applyFont="1" applyFill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/>
    </xf>
    <xf numFmtId="165" fontId="59" fillId="0" borderId="6" xfId="0" applyNumberFormat="1" applyFont="1" applyBorder="1" applyAlignment="1">
      <alignment horizontal="center" vertical="center"/>
    </xf>
    <xf numFmtId="165" fontId="59" fillId="0" borderId="6" xfId="1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165" fontId="56" fillId="0" borderId="17" xfId="0" applyNumberFormat="1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165" fontId="38" fillId="0" borderId="2" xfId="1" applyNumberFormat="1" applyFont="1" applyBorder="1" applyAlignment="1">
      <alignment horizontal="center" vertical="center" wrapText="1"/>
    </xf>
    <xf numFmtId="0" fontId="38" fillId="0" borderId="44" xfId="0" applyFont="1" applyBorder="1" applyAlignment="1">
      <alignment horizontal="center" vertical="center" wrapText="1"/>
    </xf>
    <xf numFmtId="165" fontId="38" fillId="0" borderId="45" xfId="0" applyNumberFormat="1" applyFont="1" applyBorder="1" applyAlignment="1">
      <alignment horizontal="center" vertical="center" wrapText="1"/>
    </xf>
    <xf numFmtId="165" fontId="44" fillId="0" borderId="19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27" fillId="3" borderId="19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5" fontId="27" fillId="3" borderId="19" xfId="1" applyNumberFormat="1" applyFont="1" applyFill="1" applyBorder="1" applyAlignment="1">
      <alignment horizontal="center" vertical="center" wrapText="1"/>
    </xf>
    <xf numFmtId="165" fontId="12" fillId="0" borderId="12" xfId="1" applyNumberFormat="1" applyFont="1" applyBorder="1" applyAlignment="1">
      <alignment horizontal="center" vertical="center" wrapText="1"/>
    </xf>
    <xf numFmtId="165" fontId="27" fillId="0" borderId="2" xfId="1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165" fontId="26" fillId="0" borderId="12" xfId="1" applyNumberFormat="1" applyFont="1" applyBorder="1" applyAlignment="1">
      <alignment horizontal="center" vertical="center"/>
    </xf>
    <xf numFmtId="165" fontId="58" fillId="0" borderId="12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165" fontId="26" fillId="0" borderId="11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65" fontId="26" fillId="0" borderId="12" xfId="0" applyNumberFormat="1" applyFont="1" applyBorder="1" applyAlignment="1">
      <alignment horizontal="center" vertical="center"/>
    </xf>
    <xf numFmtId="165" fontId="58" fillId="0" borderId="1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58" fillId="0" borderId="12" xfId="0" applyFont="1" applyBorder="1" applyAlignment="1">
      <alignment horizontal="center" vertical="center"/>
    </xf>
    <xf numFmtId="165" fontId="26" fillId="3" borderId="11" xfId="0" applyNumberFormat="1" applyFont="1" applyFill="1" applyBorder="1" applyAlignment="1">
      <alignment horizontal="center" vertical="center"/>
    </xf>
    <xf numFmtId="165" fontId="26" fillId="0" borderId="14" xfId="0" applyNumberFormat="1" applyFont="1" applyBorder="1" applyAlignment="1">
      <alignment horizontal="center" vertical="center"/>
    </xf>
    <xf numFmtId="165" fontId="26" fillId="0" borderId="15" xfId="0" applyNumberFormat="1" applyFont="1" applyBorder="1" applyAlignment="1">
      <alignment horizontal="center" vertical="center"/>
    </xf>
    <xf numFmtId="0" fontId="26" fillId="0" borderId="12" xfId="1" applyNumberFormat="1" applyFont="1" applyBorder="1" applyAlignment="1">
      <alignment horizontal="center" vertical="center"/>
    </xf>
    <xf numFmtId="0" fontId="58" fillId="0" borderId="12" xfId="1" applyNumberFormat="1" applyFont="1" applyBorder="1" applyAlignment="1">
      <alignment horizontal="center" vertical="center"/>
    </xf>
    <xf numFmtId="14" fontId="1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wrapText="1"/>
    </xf>
    <xf numFmtId="0" fontId="15" fillId="0" borderId="0" xfId="0" applyFont="1"/>
    <xf numFmtId="0" fontId="56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34" fillId="0" borderId="0" xfId="0" applyFont="1" applyAlignment="1">
      <alignment horizontal="center" wrapText="1"/>
    </xf>
    <xf numFmtId="165" fontId="38" fillId="0" borderId="14" xfId="0" applyNumberFormat="1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/>
    </xf>
    <xf numFmtId="0" fontId="59" fillId="0" borderId="2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165" fontId="38" fillId="0" borderId="31" xfId="0" applyNumberFormat="1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165" fontId="46" fillId="0" borderId="30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165" fontId="56" fillId="0" borderId="31" xfId="0" applyNumberFormat="1" applyFont="1" applyBorder="1" applyAlignment="1">
      <alignment horizontal="center" vertical="center"/>
    </xf>
    <xf numFmtId="165" fontId="56" fillId="0" borderId="19" xfId="0" applyNumberFormat="1" applyFont="1" applyBorder="1" applyAlignment="1">
      <alignment horizontal="center" vertical="center"/>
    </xf>
    <xf numFmtId="165" fontId="56" fillId="0" borderId="8" xfId="0" applyNumberFormat="1" applyFont="1" applyBorder="1" applyAlignment="1">
      <alignment horizontal="center" vertical="center"/>
    </xf>
    <xf numFmtId="165" fontId="56" fillId="0" borderId="22" xfId="0" applyNumberFormat="1" applyFont="1" applyBorder="1" applyAlignment="1">
      <alignment horizontal="center" vertical="center"/>
    </xf>
    <xf numFmtId="165" fontId="38" fillId="0" borderId="4" xfId="1" applyNumberFormat="1" applyFont="1" applyBorder="1" applyAlignment="1">
      <alignment horizontal="center" vertical="center"/>
    </xf>
    <xf numFmtId="165" fontId="59" fillId="0" borderId="24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/>
    </xf>
    <xf numFmtId="165" fontId="59" fillId="0" borderId="14" xfId="0" applyNumberFormat="1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165" fontId="44" fillId="0" borderId="33" xfId="0" applyNumberFormat="1" applyFont="1" applyBorder="1" applyAlignment="1">
      <alignment horizontal="center" vertical="center"/>
    </xf>
    <xf numFmtId="165" fontId="12" fillId="0" borderId="22" xfId="0" applyNumberFormat="1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/>
    </xf>
    <xf numFmtId="0" fontId="59" fillId="0" borderId="6" xfId="0" applyFont="1" applyBorder="1" applyAlignment="1">
      <alignment horizontal="center" vertical="center"/>
    </xf>
    <xf numFmtId="165" fontId="12" fillId="0" borderId="33" xfId="0" applyNumberFormat="1" applyFont="1" applyBorder="1" applyAlignment="1">
      <alignment horizontal="center" vertical="center"/>
    </xf>
    <xf numFmtId="165" fontId="12" fillId="0" borderId="15" xfId="0" applyNumberFormat="1" applyFont="1" applyBorder="1" applyAlignment="1">
      <alignment horizontal="center" vertical="center"/>
    </xf>
    <xf numFmtId="165" fontId="44" fillId="0" borderId="14" xfId="0" applyNumberFormat="1" applyFont="1" applyBorder="1" applyAlignment="1">
      <alignment horizontal="center" vertical="center"/>
    </xf>
    <xf numFmtId="165" fontId="12" fillId="0" borderId="14" xfId="0" applyNumberFormat="1" applyFont="1" applyBorder="1" applyAlignment="1">
      <alignment horizontal="center" vertical="center"/>
    </xf>
    <xf numFmtId="165" fontId="44" fillId="0" borderId="6" xfId="0" applyNumberFormat="1" applyFont="1" applyBorder="1" applyAlignment="1">
      <alignment horizontal="center" vertical="center"/>
    </xf>
    <xf numFmtId="165" fontId="12" fillId="0" borderId="18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44" fillId="0" borderId="33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70" fillId="0" borderId="2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5" fontId="38" fillId="0" borderId="19" xfId="1" applyNumberFormat="1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165" fontId="38" fillId="0" borderId="6" xfId="0" applyNumberFormat="1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/>
    </xf>
    <xf numFmtId="0" fontId="70" fillId="0" borderId="25" xfId="0" applyFont="1" applyBorder="1" applyAlignment="1">
      <alignment horizontal="center" vertical="center"/>
    </xf>
    <xf numFmtId="0" fontId="50" fillId="0" borderId="2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/>
    </xf>
    <xf numFmtId="165" fontId="34" fillId="0" borderId="4" xfId="0" applyNumberFormat="1" applyFont="1" applyBorder="1" applyAlignment="1">
      <alignment horizontal="center" vertical="center"/>
    </xf>
    <xf numFmtId="0" fontId="50" fillId="0" borderId="18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/>
    </xf>
    <xf numFmtId="165" fontId="34" fillId="0" borderId="13" xfId="0" applyNumberFormat="1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165" fontId="59" fillId="0" borderId="19" xfId="1" applyNumberFormat="1" applyFont="1" applyBorder="1" applyAlignment="1">
      <alignment horizontal="center" vertical="center"/>
    </xf>
    <xf numFmtId="165" fontId="59" fillId="0" borderId="12" xfId="1" applyNumberFormat="1" applyFont="1" applyBorder="1" applyAlignment="1">
      <alignment horizontal="center" vertical="center"/>
    </xf>
    <xf numFmtId="165" fontId="38" fillId="0" borderId="6" xfId="1" applyNumberFormat="1" applyFont="1" applyBorder="1" applyAlignment="1">
      <alignment horizontal="center" vertical="center"/>
    </xf>
    <xf numFmtId="165" fontId="59" fillId="0" borderId="9" xfId="1" applyNumberFormat="1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165" fontId="38" fillId="0" borderId="28" xfId="0" applyNumberFormat="1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6" fillId="2" borderId="1" xfId="0" applyFont="1" applyFill="1" applyBorder="1" applyAlignment="1">
      <alignment horizontal="center" vertical="center" wrapText="1"/>
    </xf>
    <xf numFmtId="165" fontId="34" fillId="0" borderId="2" xfId="0" applyNumberFormat="1" applyFont="1" applyBorder="1" applyAlignment="1">
      <alignment horizontal="center" vertical="center"/>
    </xf>
    <xf numFmtId="0" fontId="37" fillId="0" borderId="24" xfId="0" applyFont="1" applyBorder="1"/>
    <xf numFmtId="0" fontId="34" fillId="0" borderId="4" xfId="0" applyFont="1" applyBorder="1" applyAlignment="1">
      <alignment horizontal="center" vertical="center" wrapText="1"/>
    </xf>
    <xf numFmtId="0" fontId="25" fillId="0" borderId="0" xfId="0" applyFont="1"/>
    <xf numFmtId="165" fontId="59" fillId="0" borderId="22" xfId="1" applyNumberFormat="1" applyFont="1" applyBorder="1" applyAlignment="1">
      <alignment horizontal="center" vertical="center"/>
    </xf>
    <xf numFmtId="165" fontId="38" fillId="0" borderId="12" xfId="1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center"/>
    </xf>
    <xf numFmtId="165" fontId="38" fillId="0" borderId="7" xfId="0" applyNumberFormat="1" applyFont="1" applyBorder="1" applyAlignment="1">
      <alignment horizontal="center" vertical="center"/>
    </xf>
    <xf numFmtId="165" fontId="38" fillId="0" borderId="4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47" fillId="0" borderId="25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4" fillId="0" borderId="0" xfId="0" applyFont="1" applyAlignment="1">
      <alignment horizont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50" fillId="0" borderId="10" xfId="0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10" xfId="0" applyFont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2" borderId="25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75" fillId="2" borderId="16" xfId="0" applyFont="1" applyFill="1" applyBorder="1" applyAlignment="1">
      <alignment horizontal="center" vertical="center"/>
    </xf>
    <xf numFmtId="0" fontId="75" fillId="2" borderId="32" xfId="0" applyFont="1" applyFill="1" applyBorder="1" applyAlignment="1">
      <alignment horizontal="center" vertical="center"/>
    </xf>
    <xf numFmtId="0" fontId="75" fillId="2" borderId="29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/>
    </xf>
    <xf numFmtId="0" fontId="75" fillId="2" borderId="30" xfId="0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/>
    </xf>
    <xf numFmtId="0" fontId="18" fillId="0" borderId="30" xfId="0" applyFont="1" applyBorder="1" applyAlignment="1">
      <alignment horizontal="right"/>
    </xf>
    <xf numFmtId="0" fontId="25" fillId="2" borderId="1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15" fillId="0" borderId="30" xfId="0" applyFont="1" applyBorder="1" applyAlignment="1">
      <alignment horizontal="right"/>
    </xf>
    <xf numFmtId="0" fontId="13" fillId="0" borderId="0" xfId="0" applyFont="1" applyAlignment="1">
      <alignment horizontal="center"/>
    </xf>
    <xf numFmtId="0" fontId="18" fillId="0" borderId="30" xfId="0" applyFont="1" applyBorder="1" applyAlignment="1">
      <alignment horizontal="right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4" fillId="2" borderId="10" xfId="0" applyFont="1" applyFill="1" applyBorder="1" applyAlignment="1">
      <alignment horizontal="center" vertical="center"/>
    </xf>
    <xf numFmtId="0" fontId="74" fillId="2" borderId="9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" fillId="0" borderId="30" xfId="0" applyFont="1" applyBorder="1" applyAlignment="1">
      <alignment horizontal="right"/>
    </xf>
    <xf numFmtId="0" fontId="22" fillId="0" borderId="0" xfId="0" applyFont="1" applyAlignment="1">
      <alignment horizontal="center"/>
    </xf>
    <xf numFmtId="0" fontId="73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/>
    </xf>
    <xf numFmtId="165" fontId="2" fillId="2" borderId="10" xfId="0" applyNumberFormat="1" applyFont="1" applyFill="1" applyBorder="1" applyAlignment="1">
      <alignment horizontal="center" vertical="center" wrapText="1"/>
    </xf>
    <xf numFmtId="165" fontId="2" fillId="2" borderId="9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67" fillId="2" borderId="36" xfId="0" applyFont="1" applyFill="1" applyBorder="1" applyAlignment="1">
      <alignment horizontal="center" vertical="center" wrapText="1"/>
    </xf>
    <xf numFmtId="0" fontId="68" fillId="2" borderId="36" xfId="0" applyFont="1" applyFill="1" applyBorder="1" applyAlignment="1">
      <alignment horizontal="center"/>
    </xf>
    <xf numFmtId="0" fontId="66" fillId="0" borderId="37" xfId="0" applyFont="1" applyBorder="1" applyAlignment="1">
      <alignment horizontal="center" vertical="center" wrapText="1"/>
    </xf>
    <xf numFmtId="0" fontId="66" fillId="0" borderId="38" xfId="0" applyFont="1" applyBorder="1" applyAlignment="1">
      <alignment horizontal="center" vertical="center" wrapText="1"/>
    </xf>
    <xf numFmtId="0" fontId="66" fillId="0" borderId="37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165" fontId="66" fillId="0" borderId="37" xfId="0" applyNumberFormat="1" applyFont="1" applyBorder="1" applyAlignment="1">
      <alignment horizontal="center" vertical="center"/>
    </xf>
    <xf numFmtId="165" fontId="66" fillId="0" borderId="38" xfId="0" applyNumberFormat="1" applyFont="1" applyBorder="1" applyAlignment="1">
      <alignment horizontal="center" vertical="center"/>
    </xf>
    <xf numFmtId="0" fontId="67" fillId="2" borderId="39" xfId="0" applyFont="1" applyFill="1" applyBorder="1" applyAlignment="1">
      <alignment horizontal="center" vertical="center" wrapText="1"/>
    </xf>
    <xf numFmtId="0" fontId="67" fillId="2" borderId="40" xfId="0" applyFont="1" applyFill="1" applyBorder="1" applyAlignment="1">
      <alignment horizontal="center" vertical="center" wrapText="1"/>
    </xf>
    <xf numFmtId="0" fontId="67" fillId="2" borderId="41" xfId="0" applyFont="1" applyFill="1" applyBorder="1" applyAlignment="1">
      <alignment horizontal="center" vertical="center" wrapText="1"/>
    </xf>
    <xf numFmtId="0" fontId="67" fillId="2" borderId="42" xfId="0" applyFont="1" applyFill="1" applyBorder="1" applyAlignment="1">
      <alignment horizontal="center" vertical="center" wrapText="1"/>
    </xf>
    <xf numFmtId="0" fontId="67" fillId="2" borderId="17" xfId="0" applyFont="1" applyFill="1" applyBorder="1" applyAlignment="1">
      <alignment horizontal="center" vertical="center" wrapText="1"/>
    </xf>
    <xf numFmtId="0" fontId="67" fillId="2" borderId="43" xfId="0" applyFont="1" applyFill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horizontal="right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31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6.jpeg"/><Relationship Id="rId26" Type="http://schemas.openxmlformats.org/officeDocument/2006/relationships/image" Target="../media/image16.jpeg"/><Relationship Id="rId3" Type="http://schemas.openxmlformats.org/officeDocument/2006/relationships/image" Target="../media/image34.jpeg"/><Relationship Id="rId21" Type="http://schemas.openxmlformats.org/officeDocument/2006/relationships/image" Target="../media/image49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5.jpeg"/><Relationship Id="rId25" Type="http://schemas.openxmlformats.org/officeDocument/2006/relationships/image" Target="../media/image52.jpeg"/><Relationship Id="rId2" Type="http://schemas.openxmlformats.org/officeDocument/2006/relationships/image" Target="../media/image1.png"/><Relationship Id="rId16" Type="http://schemas.openxmlformats.org/officeDocument/2006/relationships/image" Target="../media/image44.png"/><Relationship Id="rId20" Type="http://schemas.openxmlformats.org/officeDocument/2006/relationships/image" Target="../media/image48.jpeg"/><Relationship Id="rId1" Type="http://schemas.openxmlformats.org/officeDocument/2006/relationships/image" Target="../media/image33.jpeg"/><Relationship Id="rId6" Type="http://schemas.openxmlformats.org/officeDocument/2006/relationships/image" Target="../media/image10.jpeg"/><Relationship Id="rId11" Type="http://schemas.openxmlformats.org/officeDocument/2006/relationships/image" Target="../media/image40.jpeg"/><Relationship Id="rId24" Type="http://schemas.openxmlformats.org/officeDocument/2006/relationships/image" Target="../media/image15.jpeg"/><Relationship Id="rId5" Type="http://schemas.openxmlformats.org/officeDocument/2006/relationships/image" Target="../media/image35.jpeg"/><Relationship Id="rId15" Type="http://schemas.openxmlformats.org/officeDocument/2006/relationships/image" Target="../media/image43.png"/><Relationship Id="rId23" Type="http://schemas.openxmlformats.org/officeDocument/2006/relationships/image" Target="../media/image51.jpeg"/><Relationship Id="rId28" Type="http://schemas.openxmlformats.org/officeDocument/2006/relationships/image" Target="../media/image2.png"/><Relationship Id="rId10" Type="http://schemas.openxmlformats.org/officeDocument/2006/relationships/image" Target="../media/image39.jpeg"/><Relationship Id="rId19" Type="http://schemas.openxmlformats.org/officeDocument/2006/relationships/image" Target="../media/image47.jpeg"/><Relationship Id="rId4" Type="http://schemas.openxmlformats.org/officeDocument/2006/relationships/image" Target="../media/image9.jpeg"/><Relationship Id="rId9" Type="http://schemas.openxmlformats.org/officeDocument/2006/relationships/image" Target="../media/image38.jpeg"/><Relationship Id="rId14" Type="http://schemas.openxmlformats.org/officeDocument/2006/relationships/image" Target="../media/image12.png"/><Relationship Id="rId22" Type="http://schemas.openxmlformats.org/officeDocument/2006/relationships/image" Target="../media/image50.jpeg"/><Relationship Id="rId27" Type="http://schemas.openxmlformats.org/officeDocument/2006/relationships/image" Target="../media/image5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jpe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1.png"/><Relationship Id="rId16" Type="http://schemas.openxmlformats.org/officeDocument/2006/relationships/image" Target="../media/image68.png"/><Relationship Id="rId1" Type="http://schemas.openxmlformats.org/officeDocument/2006/relationships/image" Target="../media/image54.jpeg"/><Relationship Id="rId6" Type="http://schemas.openxmlformats.org/officeDocument/2006/relationships/image" Target="../media/image58.png"/><Relationship Id="rId11" Type="http://schemas.openxmlformats.org/officeDocument/2006/relationships/image" Target="../media/image63.jpe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jpeg"/><Relationship Id="rId6" Type="http://schemas.openxmlformats.org/officeDocument/2006/relationships/image" Target="../media/image2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jpe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6" Type="http://schemas.openxmlformats.org/officeDocument/2006/relationships/image" Target="../media/image2.png"/><Relationship Id="rId5" Type="http://schemas.openxmlformats.org/officeDocument/2006/relationships/image" Target="../media/image24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259080</xdr:rowOff>
    </xdr:from>
    <xdr:to>
      <xdr:col>1</xdr:col>
      <xdr:colOff>2308860</xdr:colOff>
      <xdr:row>3</xdr:row>
      <xdr:rowOff>15438</xdr:rowOff>
    </xdr:to>
    <xdr:pic>
      <xdr:nvPicPr>
        <xdr:cNvPr id="27" name="Рисунок 26" descr="ЛЕС У НАС.pn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" y="259080"/>
          <a:ext cx="2324100" cy="556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6136</xdr:colOff>
      <xdr:row>1</xdr:row>
      <xdr:rowOff>21413</xdr:rowOff>
    </xdr:from>
    <xdr:to>
      <xdr:col>0</xdr:col>
      <xdr:colOff>2186609</xdr:colOff>
      <xdr:row>2</xdr:row>
      <xdr:rowOff>233021</xdr:rowOff>
    </xdr:to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36" y="259952"/>
          <a:ext cx="2180473" cy="450147"/>
        </a:xfrm>
        <a:prstGeom prst="rect">
          <a:avLst/>
        </a:prstGeom>
      </xdr:spPr>
    </xdr:pic>
    <xdr:clientData/>
  </xdr:twoCellAnchor>
  <xdr:twoCellAnchor>
    <xdr:from>
      <xdr:col>1</xdr:col>
      <xdr:colOff>397565</xdr:colOff>
      <xdr:row>20</xdr:row>
      <xdr:rowOff>40684</xdr:rowOff>
    </xdr:from>
    <xdr:to>
      <xdr:col>1</xdr:col>
      <xdr:colOff>1432893</xdr:colOff>
      <xdr:row>21</xdr:row>
      <xdr:rowOff>687460</xdr:rowOff>
    </xdr:to>
    <xdr:pic>
      <xdr:nvPicPr>
        <xdr:cNvPr id="1025" name="Рисунок 1" descr="Сенеж">
          <a:extLst>
            <a:ext uri="{FF2B5EF4-FFF2-40B4-BE49-F238E27FC236}">
              <a16:creationId xmlns:a16="http://schemas.microsoft.com/office/drawing/2014/main" xmlns="" id="{00000000-0008-0000-09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286" t="2757" r="11309" b="2966"/>
        <a:stretch>
          <a:fillRect/>
        </a:stretch>
      </xdr:blipFill>
      <xdr:spPr bwMode="auto">
        <a:xfrm>
          <a:off x="3553239" y="7271401"/>
          <a:ext cx="1035328" cy="14004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380998</xdr:colOff>
      <xdr:row>14</xdr:row>
      <xdr:rowOff>74543</xdr:rowOff>
    </xdr:from>
    <xdr:to>
      <xdr:col>1</xdr:col>
      <xdr:colOff>1391472</xdr:colOff>
      <xdr:row>15</xdr:row>
      <xdr:rowOff>695738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9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086" t="3509" r="13600" b="5139"/>
        <a:stretch>
          <a:fillRect/>
        </a:stretch>
      </xdr:blipFill>
      <xdr:spPr bwMode="auto">
        <a:xfrm>
          <a:off x="3536672" y="2782956"/>
          <a:ext cx="1010474" cy="1374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397565</xdr:colOff>
      <xdr:row>16</xdr:row>
      <xdr:rowOff>132523</xdr:rowOff>
    </xdr:from>
    <xdr:to>
      <xdr:col>1</xdr:col>
      <xdr:colOff>1416326</xdr:colOff>
      <xdr:row>17</xdr:row>
      <xdr:rowOff>687462</xdr:rowOff>
    </xdr:to>
    <xdr:pic>
      <xdr:nvPicPr>
        <xdr:cNvPr id="1027" name="Рисунок 2" descr="Сенеж Био">
          <a:extLst>
            <a:ext uri="{FF2B5EF4-FFF2-40B4-BE49-F238E27FC236}">
              <a16:creationId xmlns:a16="http://schemas.microsoft.com/office/drawing/2014/main" xmlns="" id="{00000000-0008-0000-09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7995" t="2564" r="13667" b="2564"/>
        <a:stretch>
          <a:fillRect/>
        </a:stretch>
      </xdr:blipFill>
      <xdr:spPr bwMode="auto">
        <a:xfrm>
          <a:off x="3553239" y="4348371"/>
          <a:ext cx="1018761" cy="130865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405845</xdr:colOff>
      <xdr:row>22</xdr:row>
      <xdr:rowOff>99397</xdr:rowOff>
    </xdr:from>
    <xdr:to>
      <xdr:col>1</xdr:col>
      <xdr:colOff>1391475</xdr:colOff>
      <xdr:row>24</xdr:row>
      <xdr:rowOff>0</xdr:rowOff>
    </xdr:to>
    <xdr:pic>
      <xdr:nvPicPr>
        <xdr:cNvPr id="1028" name="Рисунок 3" descr="Сенеж огнебио проф">
          <a:extLst>
            <a:ext uri="{FF2B5EF4-FFF2-40B4-BE49-F238E27FC236}">
              <a16:creationId xmlns:a16="http://schemas.microsoft.com/office/drawing/2014/main" xmlns="" id="{00000000-0008-0000-09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4297" t="2674" r="10366" b="2674"/>
        <a:stretch>
          <a:fillRect/>
        </a:stretch>
      </xdr:blipFill>
      <xdr:spPr bwMode="auto">
        <a:xfrm>
          <a:off x="3652628" y="9037988"/>
          <a:ext cx="985630" cy="13649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397564</xdr:colOff>
      <xdr:row>18</xdr:row>
      <xdr:rowOff>49674</xdr:rowOff>
    </xdr:from>
    <xdr:to>
      <xdr:col>1</xdr:col>
      <xdr:colOff>1383192</xdr:colOff>
      <xdr:row>19</xdr:row>
      <xdr:rowOff>670871</xdr:rowOff>
    </xdr:to>
    <xdr:pic>
      <xdr:nvPicPr>
        <xdr:cNvPr id="34" name="Рисунок 33" descr="C:\Users\Алексей\Desktop\ОПИСАНИЕ СЕНЕЖ\Сенеж ультра.png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9639" t="7871" r="14773" b="2496"/>
        <a:stretch>
          <a:fillRect/>
        </a:stretch>
      </xdr:blipFill>
      <xdr:spPr bwMode="auto">
        <a:xfrm>
          <a:off x="3553238" y="5772957"/>
          <a:ext cx="985628" cy="1374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2570922</xdr:colOff>
      <xdr:row>15</xdr:row>
      <xdr:rowOff>178904</xdr:rowOff>
    </xdr:from>
    <xdr:to>
      <xdr:col>1</xdr:col>
      <xdr:colOff>530087</xdr:colOff>
      <xdr:row>16</xdr:row>
      <xdr:rowOff>628926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4770782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17</xdr:row>
      <xdr:rowOff>251790</xdr:rowOff>
    </xdr:from>
    <xdr:to>
      <xdr:col>1</xdr:col>
      <xdr:colOff>530087</xdr:colOff>
      <xdr:row>18</xdr:row>
      <xdr:rowOff>701812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6341164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21</xdr:row>
      <xdr:rowOff>178903</xdr:rowOff>
    </xdr:from>
    <xdr:to>
      <xdr:col>1</xdr:col>
      <xdr:colOff>530087</xdr:colOff>
      <xdr:row>22</xdr:row>
      <xdr:rowOff>622299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9263268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311425</xdr:colOff>
      <xdr:row>3</xdr:row>
      <xdr:rowOff>102783</xdr:rowOff>
    </xdr:from>
    <xdr:to>
      <xdr:col>0</xdr:col>
      <xdr:colOff>2087216</xdr:colOff>
      <xdr:row>10</xdr:row>
      <xdr:rowOff>52456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425" y="818400"/>
          <a:ext cx="1775791" cy="1765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62612</xdr:colOff>
      <xdr:row>30</xdr:row>
      <xdr:rowOff>347637</xdr:rowOff>
    </xdr:from>
    <xdr:to>
      <xdr:col>1</xdr:col>
      <xdr:colOff>1324828</xdr:colOff>
      <xdr:row>32</xdr:row>
      <xdr:rowOff>328244</xdr:rowOff>
    </xdr:to>
    <xdr:pic>
      <xdr:nvPicPr>
        <xdr:cNvPr id="26" name="Picture 648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5042"/>
        <a:stretch>
          <a:fillRect/>
        </a:stretch>
      </xdr:blipFill>
      <xdr:spPr bwMode="auto">
        <a:xfrm>
          <a:off x="3016827" y="10986329"/>
          <a:ext cx="1262216" cy="789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6136</xdr:colOff>
      <xdr:row>0</xdr:row>
      <xdr:rowOff>187066</xdr:rowOff>
    </xdr:from>
    <xdr:to>
      <xdr:col>0</xdr:col>
      <xdr:colOff>2237768</xdr:colOff>
      <xdr:row>3</xdr:row>
      <xdr:rowOff>51426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6" y="187066"/>
          <a:ext cx="2231632" cy="460708"/>
        </a:xfrm>
        <a:prstGeom prst="rect">
          <a:avLst/>
        </a:prstGeom>
      </xdr:spPr>
    </xdr:pic>
    <xdr:clientData/>
  </xdr:twoCellAnchor>
  <xdr:twoCellAnchor editAs="oneCell">
    <xdr:from>
      <xdr:col>1</xdr:col>
      <xdr:colOff>10788</xdr:colOff>
      <xdr:row>23</xdr:row>
      <xdr:rowOff>962</xdr:rowOff>
    </xdr:from>
    <xdr:to>
      <xdr:col>1</xdr:col>
      <xdr:colOff>1414678</xdr:colOff>
      <xdr:row>25</xdr:row>
      <xdr:rowOff>165064</xdr:rowOff>
    </xdr:to>
    <xdr:pic>
      <xdr:nvPicPr>
        <xdr:cNvPr id="12" name="Picture 602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7348" y="5510222"/>
          <a:ext cx="1403890" cy="849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1389578</xdr:colOff>
      <xdr:row>22</xdr:row>
      <xdr:rowOff>333923</xdr:rowOff>
    </xdr:from>
    <xdr:to>
      <xdr:col>2</xdr:col>
      <xdr:colOff>3584</xdr:colOff>
      <xdr:row>25</xdr:row>
      <xdr:rowOff>169536</xdr:rowOff>
    </xdr:to>
    <xdr:pic>
      <xdr:nvPicPr>
        <xdr:cNvPr id="13" name="Picture 604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46138" y="5157383"/>
          <a:ext cx="1128606" cy="86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14282</xdr:colOff>
      <xdr:row>13</xdr:row>
      <xdr:rowOff>293802</xdr:rowOff>
    </xdr:from>
    <xdr:to>
      <xdr:col>1</xdr:col>
      <xdr:colOff>1279171</xdr:colOff>
      <xdr:row>16</xdr:row>
      <xdr:rowOff>168231</xdr:rowOff>
    </xdr:to>
    <xdr:pic>
      <xdr:nvPicPr>
        <xdr:cNvPr id="17" name="Picture 612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88347" y="2612932"/>
          <a:ext cx="1264889" cy="835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1221313</xdr:colOff>
      <xdr:row>13</xdr:row>
      <xdr:rowOff>286181</xdr:rowOff>
    </xdr:from>
    <xdr:to>
      <xdr:col>2</xdr:col>
      <xdr:colOff>477</xdr:colOff>
      <xdr:row>16</xdr:row>
      <xdr:rowOff>176804</xdr:rowOff>
    </xdr:to>
    <xdr:pic>
      <xdr:nvPicPr>
        <xdr:cNvPr id="18" name="Picture 614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7873" y="3037001"/>
          <a:ext cx="1293764" cy="825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11722</xdr:colOff>
      <xdr:row>25</xdr:row>
      <xdr:rowOff>102575</xdr:rowOff>
    </xdr:from>
    <xdr:to>
      <xdr:col>1</xdr:col>
      <xdr:colOff>1137138</xdr:colOff>
      <xdr:row>27</xdr:row>
      <xdr:rowOff>321322</xdr:rowOff>
    </xdr:to>
    <xdr:pic>
      <xdr:nvPicPr>
        <xdr:cNvPr id="21" name="Picture 638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85787" y="5809292"/>
          <a:ext cx="1125416" cy="897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1330569</xdr:colOff>
      <xdr:row>29</xdr:row>
      <xdr:rowOff>12786</xdr:rowOff>
    </xdr:from>
    <xdr:to>
      <xdr:col>2</xdr:col>
      <xdr:colOff>669</xdr:colOff>
      <xdr:row>31</xdr:row>
      <xdr:rowOff>18173</xdr:rowOff>
    </xdr:to>
    <xdr:pic>
      <xdr:nvPicPr>
        <xdr:cNvPr id="22" name="Picture 640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988" r="8754" b="6759"/>
        <a:stretch>
          <a:fillRect/>
        </a:stretch>
      </xdr:blipFill>
      <xdr:spPr bwMode="auto">
        <a:xfrm>
          <a:off x="4284784" y="10170832"/>
          <a:ext cx="1131277" cy="813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252060</xdr:colOff>
      <xdr:row>34</xdr:row>
      <xdr:rowOff>23471</xdr:rowOff>
    </xdr:from>
    <xdr:to>
      <xdr:col>1</xdr:col>
      <xdr:colOff>1447814</xdr:colOff>
      <xdr:row>35</xdr:row>
      <xdr:rowOff>388620</xdr:rowOff>
    </xdr:to>
    <xdr:pic>
      <xdr:nvPicPr>
        <xdr:cNvPr id="24" name="Picture 644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1485" r="15093"/>
        <a:stretch>
          <a:fillRect/>
        </a:stretch>
      </xdr:blipFill>
      <xdr:spPr bwMode="auto">
        <a:xfrm>
          <a:off x="3208620" y="9807551"/>
          <a:ext cx="1195754" cy="769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64480</xdr:colOff>
      <xdr:row>32</xdr:row>
      <xdr:rowOff>173729</xdr:rowOff>
    </xdr:from>
    <xdr:to>
      <xdr:col>1</xdr:col>
      <xdr:colOff>1307126</xdr:colOff>
      <xdr:row>34</xdr:row>
      <xdr:rowOff>181706</xdr:rowOff>
    </xdr:to>
    <xdr:pic>
      <xdr:nvPicPr>
        <xdr:cNvPr id="25" name="Picture 646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1910" r="7117" b="7601"/>
        <a:stretch>
          <a:fillRect/>
        </a:stretch>
      </xdr:blipFill>
      <xdr:spPr bwMode="auto">
        <a:xfrm>
          <a:off x="3018695" y="11773714"/>
          <a:ext cx="1242646" cy="816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64477</xdr:colOff>
      <xdr:row>29</xdr:row>
      <xdr:rowOff>17585</xdr:rowOff>
    </xdr:from>
    <xdr:to>
      <xdr:col>1</xdr:col>
      <xdr:colOff>1330569</xdr:colOff>
      <xdr:row>31</xdr:row>
      <xdr:rowOff>24035</xdr:rowOff>
    </xdr:to>
    <xdr:pic>
      <xdr:nvPicPr>
        <xdr:cNvPr id="27" name="Picture 650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532" t="15204" r="8586" b="4074"/>
        <a:stretch>
          <a:fillRect/>
        </a:stretch>
      </xdr:blipFill>
      <xdr:spPr bwMode="auto">
        <a:xfrm>
          <a:off x="3018692" y="10175631"/>
          <a:ext cx="1266092" cy="81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1318847</xdr:colOff>
      <xdr:row>30</xdr:row>
      <xdr:rowOff>346372</xdr:rowOff>
    </xdr:from>
    <xdr:to>
      <xdr:col>2</xdr:col>
      <xdr:colOff>671</xdr:colOff>
      <xdr:row>32</xdr:row>
      <xdr:rowOff>328244</xdr:rowOff>
    </xdr:to>
    <xdr:pic>
      <xdr:nvPicPr>
        <xdr:cNvPr id="28" name="Picture 654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53" r="2602" b="6041"/>
        <a:stretch>
          <a:fillRect/>
        </a:stretch>
      </xdr:blipFill>
      <xdr:spPr bwMode="auto">
        <a:xfrm>
          <a:off x="4273062" y="10985064"/>
          <a:ext cx="1143001" cy="790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1271952</xdr:colOff>
      <xdr:row>32</xdr:row>
      <xdr:rowOff>175847</xdr:rowOff>
    </xdr:from>
    <xdr:to>
      <xdr:col>2</xdr:col>
      <xdr:colOff>731</xdr:colOff>
      <xdr:row>34</xdr:row>
      <xdr:rowOff>187571</xdr:rowOff>
    </xdr:to>
    <xdr:pic>
      <xdr:nvPicPr>
        <xdr:cNvPr id="29" name="Picture 656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252" r="9181" b="11590"/>
        <a:stretch>
          <a:fillRect/>
        </a:stretch>
      </xdr:blipFill>
      <xdr:spPr bwMode="auto">
        <a:xfrm>
          <a:off x="4226167" y="11775832"/>
          <a:ext cx="1195754" cy="820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1447814</xdr:colOff>
      <xdr:row>34</xdr:row>
      <xdr:rowOff>190500</xdr:rowOff>
    </xdr:from>
    <xdr:to>
      <xdr:col>1</xdr:col>
      <xdr:colOff>2291875</xdr:colOff>
      <xdr:row>35</xdr:row>
      <xdr:rowOff>396240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3539" r="5799"/>
        <a:stretch>
          <a:fillRect/>
        </a:stretch>
      </xdr:blipFill>
      <xdr:spPr bwMode="auto">
        <a:xfrm>
          <a:off x="4404374" y="9974580"/>
          <a:ext cx="844061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166808</xdr:colOff>
      <xdr:row>41</xdr:row>
      <xdr:rowOff>79372</xdr:rowOff>
    </xdr:from>
    <xdr:to>
      <xdr:col>1</xdr:col>
      <xdr:colOff>2348212</xdr:colOff>
      <xdr:row>48</xdr:row>
      <xdr:rowOff>100550</xdr:rowOff>
    </xdr:to>
    <xdr:pic>
      <xdr:nvPicPr>
        <xdr:cNvPr id="31" name="Picture 650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242" r="9091" b="8088"/>
        <a:stretch>
          <a:fillRect/>
        </a:stretch>
      </xdr:blipFill>
      <xdr:spPr bwMode="auto">
        <a:xfrm>
          <a:off x="3122043" y="11250955"/>
          <a:ext cx="2181404" cy="164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157549</xdr:colOff>
      <xdr:row>50</xdr:row>
      <xdr:rowOff>177071</xdr:rowOff>
    </xdr:from>
    <xdr:to>
      <xdr:col>1</xdr:col>
      <xdr:colOff>2368323</xdr:colOff>
      <xdr:row>56</xdr:row>
      <xdr:rowOff>52755</xdr:rowOff>
    </xdr:to>
    <xdr:pic>
      <xdr:nvPicPr>
        <xdr:cNvPr id="32" name="Picture 658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12784" y="13203958"/>
          <a:ext cx="2210774" cy="1267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84063</xdr:colOff>
      <xdr:row>57</xdr:row>
      <xdr:rowOff>162838</xdr:rowOff>
    </xdr:from>
    <xdr:to>
      <xdr:col>1</xdr:col>
      <xdr:colOff>2419684</xdr:colOff>
      <xdr:row>63</xdr:row>
      <xdr:rowOff>36030</xdr:rowOff>
    </xdr:to>
    <xdr:pic>
      <xdr:nvPicPr>
        <xdr:cNvPr id="33" name="Picture 660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39298" y="14813116"/>
          <a:ext cx="2335621" cy="1264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294666</xdr:colOff>
      <xdr:row>72</xdr:row>
      <xdr:rowOff>15591</xdr:rowOff>
    </xdr:from>
    <xdr:to>
      <xdr:col>1</xdr:col>
      <xdr:colOff>1201451</xdr:colOff>
      <xdr:row>75</xdr:row>
      <xdr:rowOff>61572</xdr:rowOff>
    </xdr:to>
    <xdr:pic>
      <xdr:nvPicPr>
        <xdr:cNvPr id="34" name="Picture 591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9311" t="15855" r="6152" b="11726"/>
        <a:stretch>
          <a:fillRect/>
        </a:stretch>
      </xdr:blipFill>
      <xdr:spPr bwMode="auto">
        <a:xfrm>
          <a:off x="3249901" y="19728200"/>
          <a:ext cx="906785" cy="68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1639371</xdr:colOff>
      <xdr:row>72</xdr:row>
      <xdr:rowOff>16776</xdr:rowOff>
    </xdr:from>
    <xdr:to>
      <xdr:col>1</xdr:col>
      <xdr:colOff>2340370</xdr:colOff>
      <xdr:row>75</xdr:row>
      <xdr:rowOff>59636</xdr:rowOff>
    </xdr:to>
    <xdr:pic>
      <xdr:nvPicPr>
        <xdr:cNvPr id="35" name="Picture 652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8392" r="17114" b="2262"/>
        <a:stretch>
          <a:fillRect/>
        </a:stretch>
      </xdr:blipFill>
      <xdr:spPr bwMode="auto">
        <a:xfrm>
          <a:off x="4594606" y="19729385"/>
          <a:ext cx="700999" cy="678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615099</xdr:colOff>
      <xdr:row>65</xdr:row>
      <xdr:rowOff>39757</xdr:rowOff>
    </xdr:from>
    <xdr:to>
      <xdr:col>1</xdr:col>
      <xdr:colOff>2039654</xdr:colOff>
      <xdr:row>70</xdr:row>
      <xdr:rowOff>99389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t="5487" r="6344" b="4087"/>
        <a:stretch>
          <a:fillRect/>
        </a:stretch>
      </xdr:blipFill>
      <xdr:spPr bwMode="auto">
        <a:xfrm>
          <a:off x="3570334" y="18029583"/>
          <a:ext cx="1424555" cy="11198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22861</xdr:colOff>
      <xdr:row>79</xdr:row>
      <xdr:rowOff>27505</xdr:rowOff>
    </xdr:from>
    <xdr:to>
      <xdr:col>2</xdr:col>
      <xdr:colOff>1</xdr:colOff>
      <xdr:row>83</xdr:row>
      <xdr:rowOff>220980</xdr:rowOff>
    </xdr:to>
    <xdr:pic>
      <xdr:nvPicPr>
        <xdr:cNvPr id="37" name="Picture 662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79421" y="20129065"/>
          <a:ext cx="2453640" cy="1199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865034</xdr:colOff>
      <xdr:row>25</xdr:row>
      <xdr:rowOff>103013</xdr:rowOff>
    </xdr:from>
    <xdr:to>
      <xdr:col>2</xdr:col>
      <xdr:colOff>2919</xdr:colOff>
      <xdr:row>27</xdr:row>
      <xdr:rowOff>321317</xdr:rowOff>
    </xdr:to>
    <xdr:pic>
      <xdr:nvPicPr>
        <xdr:cNvPr id="20" name="Picture 618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39099" y="5809730"/>
          <a:ext cx="1589537" cy="89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175847</xdr:colOff>
      <xdr:row>76</xdr:row>
      <xdr:rowOff>16564</xdr:rowOff>
    </xdr:from>
    <xdr:to>
      <xdr:col>1</xdr:col>
      <xdr:colOff>730468</xdr:colOff>
      <xdr:row>78</xdr:row>
      <xdr:rowOff>25008</xdr:rowOff>
    </xdr:to>
    <xdr:pic>
      <xdr:nvPicPr>
        <xdr:cNvPr id="38" name="Рисунок 37" descr="C:\Users\Turin\Desktop\Штапик оконный.jpg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l="18883" t="32784" r="49269" b="23176"/>
        <a:stretch>
          <a:fillRect/>
        </a:stretch>
      </xdr:blipFill>
      <xdr:spPr bwMode="auto">
        <a:xfrm>
          <a:off x="3049912" y="18437086"/>
          <a:ext cx="554621" cy="4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1340069</xdr:colOff>
      <xdr:row>76</xdr:row>
      <xdr:rowOff>24847</xdr:rowOff>
    </xdr:from>
    <xdr:to>
      <xdr:col>1</xdr:col>
      <xdr:colOff>1865586</xdr:colOff>
      <xdr:row>78</xdr:row>
      <xdr:rowOff>6507</xdr:rowOff>
    </xdr:to>
    <xdr:pic>
      <xdr:nvPicPr>
        <xdr:cNvPr id="39" name="Рисунок 38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t="43746" r="59282" b="15727"/>
        <a:stretch>
          <a:fillRect/>
        </a:stretch>
      </xdr:blipFill>
      <xdr:spPr bwMode="auto">
        <a:xfrm>
          <a:off x="4214134" y="18445369"/>
          <a:ext cx="525517" cy="465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1181571</xdr:colOff>
      <xdr:row>17</xdr:row>
      <xdr:rowOff>99913</xdr:rowOff>
    </xdr:from>
    <xdr:to>
      <xdr:col>2</xdr:col>
      <xdr:colOff>1935</xdr:colOff>
      <xdr:row>19</xdr:row>
      <xdr:rowOff>276917</xdr:rowOff>
    </xdr:to>
    <xdr:pic>
      <xdr:nvPicPr>
        <xdr:cNvPr id="15" name="Picture 608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55636" y="3446087"/>
          <a:ext cx="1272016" cy="83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12920</xdr:colOff>
      <xdr:row>17</xdr:row>
      <xdr:rowOff>100341</xdr:rowOff>
    </xdr:from>
    <xdr:to>
      <xdr:col>1</xdr:col>
      <xdr:colOff>1236111</xdr:colOff>
      <xdr:row>19</xdr:row>
      <xdr:rowOff>274616</xdr:rowOff>
    </xdr:to>
    <xdr:pic>
      <xdr:nvPicPr>
        <xdr:cNvPr id="19" name="Picture 616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86985" y="3446515"/>
          <a:ext cx="1223191" cy="83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1389299</xdr:colOff>
      <xdr:row>19</xdr:row>
      <xdr:rowOff>253781</xdr:rowOff>
    </xdr:from>
    <xdr:to>
      <xdr:col>2</xdr:col>
      <xdr:colOff>781</xdr:colOff>
      <xdr:row>23</xdr:row>
      <xdr:rowOff>6142</xdr:rowOff>
    </xdr:to>
    <xdr:pic>
      <xdr:nvPicPr>
        <xdr:cNvPr id="14" name="Picture 606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63364" y="4196303"/>
          <a:ext cx="1063134" cy="83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12095</xdr:colOff>
      <xdr:row>19</xdr:row>
      <xdr:rowOff>275717</xdr:rowOff>
    </xdr:from>
    <xdr:to>
      <xdr:col>1</xdr:col>
      <xdr:colOff>1388185</xdr:colOff>
      <xdr:row>22</xdr:row>
      <xdr:rowOff>336547</xdr:rowOff>
    </xdr:to>
    <xdr:pic>
      <xdr:nvPicPr>
        <xdr:cNvPr id="16" name="Picture 610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86160" y="4218239"/>
          <a:ext cx="1376090" cy="806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65</xdr:row>
      <xdr:rowOff>205740</xdr:rowOff>
    </xdr:from>
    <xdr:to>
      <xdr:col>1</xdr:col>
      <xdr:colOff>853440</xdr:colOff>
      <xdr:row>67</xdr:row>
      <xdr:rowOff>2884</xdr:rowOff>
    </xdr:to>
    <xdr:pic>
      <xdr:nvPicPr>
        <xdr:cNvPr id="3" name="Рисунок 2" descr="C:\Users\Алексей\Desktop\62102b.jp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743200" y="16977360"/>
          <a:ext cx="106680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2343150</xdr:colOff>
      <xdr:row>43</xdr:row>
      <xdr:rowOff>9525</xdr:rowOff>
    </xdr:from>
    <xdr:to>
      <xdr:col>1</xdr:col>
      <xdr:colOff>453390</xdr:colOff>
      <xdr:row>44</xdr:row>
      <xdr:rowOff>979</xdr:rowOff>
    </xdr:to>
    <xdr:pic>
      <xdr:nvPicPr>
        <xdr:cNvPr id="40" name="Рисунок 39" descr="C:\Users\Алексей\Desktop\62102b.jpg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343150" y="11268075"/>
          <a:ext cx="98679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69</xdr:row>
      <xdr:rowOff>0</xdr:rowOff>
    </xdr:from>
    <xdr:to>
      <xdr:col>1</xdr:col>
      <xdr:colOff>853440</xdr:colOff>
      <xdr:row>70</xdr:row>
      <xdr:rowOff>10504</xdr:rowOff>
    </xdr:to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743200" y="17137380"/>
          <a:ext cx="1066800" cy="223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358140</xdr:colOff>
      <xdr:row>39</xdr:row>
      <xdr:rowOff>451823</xdr:rowOff>
    </xdr:from>
    <xdr:to>
      <xdr:col>1</xdr:col>
      <xdr:colOff>2915770</xdr:colOff>
      <xdr:row>41</xdr:row>
      <xdr:rowOff>516254</xdr:rowOff>
    </xdr:to>
    <xdr:pic>
      <xdr:nvPicPr>
        <xdr:cNvPr id="53" name="Рисунок 52" descr="C:\Users\Turin\Desktop\195_original.jpg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5140" y="12880043"/>
          <a:ext cx="2557630" cy="133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74296</xdr:rowOff>
    </xdr:from>
    <xdr:to>
      <xdr:col>0</xdr:col>
      <xdr:colOff>2095500</xdr:colOff>
      <xdr:row>3</xdr:row>
      <xdr:rowOff>39515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02896"/>
          <a:ext cx="2095500" cy="422419"/>
        </a:xfrm>
        <a:prstGeom prst="rect">
          <a:avLst/>
        </a:prstGeom>
      </xdr:spPr>
    </xdr:pic>
    <xdr:clientData/>
  </xdr:twoCellAnchor>
  <xdr:twoCellAnchor editAs="oneCell">
    <xdr:from>
      <xdr:col>1</xdr:col>
      <xdr:colOff>690357</xdr:colOff>
      <xdr:row>15</xdr:row>
      <xdr:rowOff>57150</xdr:rowOff>
    </xdr:from>
    <xdr:to>
      <xdr:col>1</xdr:col>
      <xdr:colOff>692262</xdr:colOff>
      <xdr:row>15</xdr:row>
      <xdr:rowOff>165735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382905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16</xdr:row>
      <xdr:rowOff>65432</xdr:rowOff>
    </xdr:from>
    <xdr:to>
      <xdr:col>1</xdr:col>
      <xdr:colOff>692262</xdr:colOff>
      <xdr:row>16</xdr:row>
      <xdr:rowOff>166397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11165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17</xdr:row>
      <xdr:rowOff>57149</xdr:rowOff>
    </xdr:from>
    <xdr:to>
      <xdr:col>1</xdr:col>
      <xdr:colOff>692262</xdr:colOff>
      <xdr:row>17</xdr:row>
      <xdr:rowOff>165734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377689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18</xdr:row>
      <xdr:rowOff>40584</xdr:rowOff>
    </xdr:from>
    <xdr:to>
      <xdr:col>1</xdr:col>
      <xdr:colOff>692262</xdr:colOff>
      <xdr:row>18</xdr:row>
      <xdr:rowOff>164409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63544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19</xdr:row>
      <xdr:rowOff>65432</xdr:rowOff>
    </xdr:from>
    <xdr:to>
      <xdr:col>1</xdr:col>
      <xdr:colOff>692262</xdr:colOff>
      <xdr:row>19</xdr:row>
      <xdr:rowOff>166397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93461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22</xdr:row>
      <xdr:rowOff>65432</xdr:rowOff>
    </xdr:from>
    <xdr:to>
      <xdr:col>1</xdr:col>
      <xdr:colOff>692262</xdr:colOff>
      <xdr:row>22</xdr:row>
      <xdr:rowOff>166397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520893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67026</xdr:rowOff>
    </xdr:from>
    <xdr:to>
      <xdr:col>0</xdr:col>
      <xdr:colOff>1905</xdr:colOff>
      <xdr:row>79</xdr:row>
      <xdr:rowOff>267051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587186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75308</xdr:rowOff>
    </xdr:from>
    <xdr:to>
      <xdr:col>0</xdr:col>
      <xdr:colOff>1905</xdr:colOff>
      <xdr:row>81</xdr:row>
      <xdr:rowOff>1013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86978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67025</xdr:rowOff>
    </xdr:from>
    <xdr:to>
      <xdr:col>0</xdr:col>
      <xdr:colOff>1905</xdr:colOff>
      <xdr:row>81</xdr:row>
      <xdr:rowOff>267050</xdr:rowOff>
    </xdr:to>
    <xdr:pic>
      <xdr:nvPicPr>
        <xdr:cNvPr id="33" name="Picture 4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135825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50460</xdr:rowOff>
    </xdr:from>
    <xdr:to>
      <xdr:col>0</xdr:col>
      <xdr:colOff>1905</xdr:colOff>
      <xdr:row>82</xdr:row>
      <xdr:rowOff>250485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39358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75308</xdr:rowOff>
    </xdr:from>
    <xdr:to>
      <xdr:col>0</xdr:col>
      <xdr:colOff>1905</xdr:colOff>
      <xdr:row>84</xdr:row>
      <xdr:rowOff>1013</xdr:rowOff>
    </xdr:to>
    <xdr:pic>
      <xdr:nvPicPr>
        <xdr:cNvPr id="37" name="Picture 4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69274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75308</xdr:rowOff>
    </xdr:from>
    <xdr:to>
      <xdr:col>0</xdr:col>
      <xdr:colOff>1905</xdr:colOff>
      <xdr:row>85</xdr:row>
      <xdr:rowOff>1013</xdr:rowOff>
    </xdr:to>
    <xdr:pic>
      <xdr:nvPicPr>
        <xdr:cNvPr id="39" name="Picture 4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96706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60654</xdr:rowOff>
    </xdr:from>
    <xdr:to>
      <xdr:col>0</xdr:col>
      <xdr:colOff>1905</xdr:colOff>
      <xdr:row>85</xdr:row>
      <xdr:rowOff>260679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822673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58616</xdr:rowOff>
    </xdr:from>
    <xdr:to>
      <xdr:col>0</xdr:col>
      <xdr:colOff>3810</xdr:colOff>
      <xdr:row>80</xdr:row>
      <xdr:rowOff>3371</xdr:rowOff>
    </xdr:to>
    <xdr:pic>
      <xdr:nvPicPr>
        <xdr:cNvPr id="43" name="Picture 30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87280" y="16578776"/>
          <a:ext cx="514350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65942</xdr:rowOff>
    </xdr:from>
    <xdr:to>
      <xdr:col>0</xdr:col>
      <xdr:colOff>1905</xdr:colOff>
      <xdr:row>80</xdr:row>
      <xdr:rowOff>265967</xdr:rowOff>
    </xdr:to>
    <xdr:pic>
      <xdr:nvPicPr>
        <xdr:cNvPr id="44" name="Picture 32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72626" y="16860422"/>
          <a:ext cx="5238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58616</xdr:rowOff>
    </xdr:from>
    <xdr:to>
      <xdr:col>0</xdr:col>
      <xdr:colOff>1905</xdr:colOff>
      <xdr:row>82</xdr:row>
      <xdr:rowOff>3371</xdr:rowOff>
    </xdr:to>
    <xdr:pic>
      <xdr:nvPicPr>
        <xdr:cNvPr id="45" name="Picture 3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09260" y="17127416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51288</xdr:rowOff>
    </xdr:from>
    <xdr:to>
      <xdr:col>0</xdr:col>
      <xdr:colOff>1905</xdr:colOff>
      <xdr:row>82</xdr:row>
      <xdr:rowOff>270363</xdr:rowOff>
    </xdr:to>
    <xdr:pic>
      <xdr:nvPicPr>
        <xdr:cNvPr id="46" name="Picture 36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01934" y="17394408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58615</xdr:rowOff>
    </xdr:from>
    <xdr:to>
      <xdr:col>0</xdr:col>
      <xdr:colOff>1905</xdr:colOff>
      <xdr:row>84</xdr:row>
      <xdr:rowOff>3370</xdr:rowOff>
    </xdr:to>
    <xdr:pic>
      <xdr:nvPicPr>
        <xdr:cNvPr id="47" name="Picture 38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1933" y="17676055"/>
          <a:ext cx="5048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58615</xdr:rowOff>
    </xdr:from>
    <xdr:to>
      <xdr:col>0</xdr:col>
      <xdr:colOff>1905</xdr:colOff>
      <xdr:row>85</xdr:row>
      <xdr:rowOff>3370</xdr:rowOff>
    </xdr:to>
    <xdr:pic>
      <xdr:nvPicPr>
        <xdr:cNvPr id="48" name="Picture 40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1933" y="17950375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51289</xdr:rowOff>
    </xdr:from>
    <xdr:to>
      <xdr:col>0</xdr:col>
      <xdr:colOff>1905</xdr:colOff>
      <xdr:row>85</xdr:row>
      <xdr:rowOff>260839</xdr:rowOff>
    </xdr:to>
    <xdr:pic>
      <xdr:nvPicPr>
        <xdr:cNvPr id="49" name="Picture 42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7280" y="18217369"/>
          <a:ext cx="523875" cy="209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121921</xdr:colOff>
      <xdr:row>15</xdr:row>
      <xdr:rowOff>41783</xdr:rowOff>
    </xdr:from>
    <xdr:to>
      <xdr:col>1</xdr:col>
      <xdr:colOff>3246120</xdr:colOff>
      <xdr:row>22</xdr:row>
      <xdr:rowOff>233364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25141" y="3265043"/>
          <a:ext cx="3124199" cy="2218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175261</xdr:colOff>
      <xdr:row>24</xdr:row>
      <xdr:rowOff>53340</xdr:rowOff>
    </xdr:from>
    <xdr:to>
      <xdr:col>1</xdr:col>
      <xdr:colOff>3197232</xdr:colOff>
      <xdr:row>27</xdr:row>
      <xdr:rowOff>548640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440" b="2111"/>
        <a:stretch>
          <a:fillRect/>
        </a:stretch>
      </xdr:blipFill>
      <xdr:spPr bwMode="auto">
        <a:xfrm>
          <a:off x="2842261" y="5204460"/>
          <a:ext cx="3021971" cy="230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1882140</xdr:colOff>
      <xdr:row>29</xdr:row>
      <xdr:rowOff>30480</xdr:rowOff>
    </xdr:from>
    <xdr:to>
      <xdr:col>1</xdr:col>
      <xdr:colOff>3086100</xdr:colOff>
      <xdr:row>32</xdr:row>
      <xdr:rowOff>266700</xdr:rowOff>
    </xdr:to>
    <xdr:pic>
      <xdr:nvPicPr>
        <xdr:cNvPr id="38" name="Рисунок 37" descr="C:\Users\Turin\Desktop\Окончания-поручня-из-сосны.jpg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49140" y="7886700"/>
          <a:ext cx="120396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</xdr:colOff>
      <xdr:row>29</xdr:row>
      <xdr:rowOff>45720</xdr:rowOff>
    </xdr:from>
    <xdr:to>
      <xdr:col>1</xdr:col>
      <xdr:colOff>1521460</xdr:colOff>
      <xdr:row>32</xdr:row>
      <xdr:rowOff>264160</xdr:rowOff>
    </xdr:to>
    <xdr:pic>
      <xdr:nvPicPr>
        <xdr:cNvPr id="40" name="Рисунок 39" descr="C:\Users\Turin\Desktop\Перила.jpg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32760" y="7901940"/>
          <a:ext cx="115570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424815</xdr:colOff>
      <xdr:row>47</xdr:row>
      <xdr:rowOff>456890</xdr:rowOff>
    </xdr:from>
    <xdr:to>
      <xdr:col>1</xdr:col>
      <xdr:colOff>3013710</xdr:colOff>
      <xdr:row>49</xdr:row>
      <xdr:rowOff>436245</xdr:rowOff>
    </xdr:to>
    <xdr:pic>
      <xdr:nvPicPr>
        <xdr:cNvPr id="52" name="Рисунок 51" descr="C:\Users\Turin\Desktop\подступенок-бук.png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 l="13209" t="30420" r="15362" b="30354"/>
        <a:stretch>
          <a:fillRect/>
        </a:stretch>
      </xdr:blipFill>
      <xdr:spPr bwMode="auto">
        <a:xfrm>
          <a:off x="3091815" y="18295310"/>
          <a:ext cx="2588895" cy="1461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379096</xdr:colOff>
      <xdr:row>43</xdr:row>
      <xdr:rowOff>426720</xdr:rowOff>
    </xdr:from>
    <xdr:to>
      <xdr:col>1</xdr:col>
      <xdr:colOff>2913548</xdr:colOff>
      <xdr:row>46</xdr:row>
      <xdr:rowOff>405762</xdr:rowOff>
    </xdr:to>
    <xdr:pic>
      <xdr:nvPicPr>
        <xdr:cNvPr id="51" name="Рисунок 50" descr="C:\Users\Turin\Desktop\Ступенька.png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t="13232" b="12395"/>
        <a:stretch>
          <a:fillRect/>
        </a:stretch>
      </xdr:blipFill>
      <xdr:spPr bwMode="auto">
        <a:xfrm>
          <a:off x="3046096" y="15506700"/>
          <a:ext cx="2534452" cy="188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37</xdr:row>
      <xdr:rowOff>83820</xdr:rowOff>
    </xdr:from>
    <xdr:to>
      <xdr:col>1</xdr:col>
      <xdr:colOff>2471228</xdr:colOff>
      <xdr:row>37</xdr:row>
      <xdr:rowOff>419100</xdr:rowOff>
    </xdr:to>
    <xdr:pic>
      <xdr:nvPicPr>
        <xdr:cNvPr id="32" name="Рисунок 31" descr="C:\Users\Алексей\Desktop\62102b.jpg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167384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51</xdr:row>
      <xdr:rowOff>205740</xdr:rowOff>
    </xdr:from>
    <xdr:to>
      <xdr:col>1</xdr:col>
      <xdr:colOff>2471228</xdr:colOff>
      <xdr:row>51</xdr:row>
      <xdr:rowOff>541020</xdr:rowOff>
    </xdr:to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819656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180611</xdr:colOff>
      <xdr:row>4</xdr:row>
      <xdr:rowOff>89322</xdr:rowOff>
    </xdr:from>
    <xdr:to>
      <xdr:col>4</xdr:col>
      <xdr:colOff>2062500</xdr:colOff>
      <xdr:row>6</xdr:row>
      <xdr:rowOff>32657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6382" y="1319408"/>
          <a:ext cx="3536518" cy="770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</xdr:col>
      <xdr:colOff>2034541</xdr:colOff>
      <xdr:row>4</xdr:row>
      <xdr:rowOff>6234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28600"/>
          <a:ext cx="2880360" cy="69203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76</xdr:row>
      <xdr:rowOff>53340</xdr:rowOff>
    </xdr:from>
    <xdr:ext cx="1165860" cy="240487"/>
    <xdr:pic>
      <xdr:nvPicPr>
        <xdr:cNvPr id="12" name="Рисунок 11" descr="C:\Users\Алексей\Desktop\62102b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6242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</xdr:row>
      <xdr:rowOff>68580</xdr:rowOff>
    </xdr:from>
    <xdr:ext cx="1165860" cy="240487"/>
    <xdr:pic>
      <xdr:nvPicPr>
        <xdr:cNvPr id="25" name="Рисунок 24" descr="C:\Users\Алексей\Desktop\62102b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74650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13</xdr:row>
      <xdr:rowOff>76200</xdr:rowOff>
    </xdr:from>
    <xdr:to>
      <xdr:col>1</xdr:col>
      <xdr:colOff>99060</xdr:colOff>
      <xdr:row>13</xdr:row>
      <xdr:rowOff>271105</xdr:rowOff>
    </xdr:to>
    <xdr:pic>
      <xdr:nvPicPr>
        <xdr:cNvPr id="4" name="Рисунок 3" descr="C:\Users\Алексей\Desktop\62102b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460248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68580</xdr:rowOff>
    </xdr:from>
    <xdr:to>
      <xdr:col>1</xdr:col>
      <xdr:colOff>99060</xdr:colOff>
      <xdr:row>14</xdr:row>
      <xdr:rowOff>263485</xdr:rowOff>
    </xdr:to>
    <xdr:pic>
      <xdr:nvPicPr>
        <xdr:cNvPr id="5" name="Рисунок 4" descr="C:\Users\Алексей\Desktop\62102b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427482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77</xdr:row>
      <xdr:rowOff>60960</xdr:rowOff>
    </xdr:from>
    <xdr:ext cx="1165860" cy="240487"/>
    <xdr:pic>
      <xdr:nvPicPr>
        <xdr:cNvPr id="8" name="Рисунок 7" descr="C:\Users\Алексей\Desktop\62102b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388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</xdr:row>
      <xdr:rowOff>68580</xdr:rowOff>
    </xdr:from>
    <xdr:ext cx="1165860" cy="240487"/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83718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91</xdr:row>
      <xdr:rowOff>76200</xdr:rowOff>
    </xdr:from>
    <xdr:ext cx="1165860" cy="240487"/>
    <xdr:pic>
      <xdr:nvPicPr>
        <xdr:cNvPr id="36" name="Рисунок 35" descr="C:\Users\Алексей\Desktop\62102b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6458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15240</xdr:rowOff>
    </xdr:from>
    <xdr:ext cx="1165860" cy="240487"/>
    <xdr:pic>
      <xdr:nvPicPr>
        <xdr:cNvPr id="40" name="Рисунок 39" descr="C:\Users\Алексей\Desktop\62102b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8862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89</xdr:row>
      <xdr:rowOff>76200</xdr:rowOff>
    </xdr:from>
    <xdr:ext cx="1165860" cy="240487"/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26212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86</xdr:row>
      <xdr:rowOff>38100</xdr:rowOff>
    </xdr:from>
    <xdr:ext cx="1165860" cy="240487"/>
    <xdr:pic>
      <xdr:nvPicPr>
        <xdr:cNvPr id="24" name="Рисунок 23" descr="C:\Users\Алексей\Desktop\62102b.jp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92531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93</xdr:row>
      <xdr:rowOff>53340</xdr:rowOff>
    </xdr:from>
    <xdr:ext cx="1165860" cy="240487"/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4172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12</xdr:row>
      <xdr:rowOff>76200</xdr:rowOff>
    </xdr:from>
    <xdr:to>
      <xdr:col>1</xdr:col>
      <xdr:colOff>99060</xdr:colOff>
      <xdr:row>12</xdr:row>
      <xdr:rowOff>271105</xdr:rowOff>
    </xdr:to>
    <xdr:pic>
      <xdr:nvPicPr>
        <xdr:cNvPr id="6" name="Рисунок 5" descr="C:\Users\Алексей\Desktop\62102b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33756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24</xdr:row>
      <xdr:rowOff>60960</xdr:rowOff>
    </xdr:from>
    <xdr:ext cx="1165860" cy="240487"/>
    <xdr:pic>
      <xdr:nvPicPr>
        <xdr:cNvPr id="33" name="Рисунок 32" descr="C:\Users\Алексей\Desktop\62102b.jp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79781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355503</xdr:colOff>
      <xdr:row>38</xdr:row>
      <xdr:rowOff>0</xdr:rowOff>
    </xdr:from>
    <xdr:to>
      <xdr:col>3</xdr:col>
      <xdr:colOff>1015053</xdr:colOff>
      <xdr:row>38</xdr:row>
      <xdr:rowOff>1265</xdr:rowOff>
    </xdr:to>
    <xdr:pic>
      <xdr:nvPicPr>
        <xdr:cNvPr id="22" name="Рисунок 21" descr="фуга.jp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591" y="12975528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7</xdr:row>
      <xdr:rowOff>203499</xdr:rowOff>
    </xdr:to>
    <xdr:pic>
      <xdr:nvPicPr>
        <xdr:cNvPr id="35" name="Рисунок 34" descr="ЛЕС У НАС.png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4539" y="1090012"/>
          <a:ext cx="5781662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26" name="Рисунок 25" descr="Блокхаус круглый.jp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6055" y="4469906"/>
          <a:ext cx="702878" cy="170792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16</xdr:row>
      <xdr:rowOff>0</xdr:rowOff>
    </xdr:from>
    <xdr:to>
      <xdr:col>3</xdr:col>
      <xdr:colOff>1010359</xdr:colOff>
      <xdr:row>16</xdr:row>
      <xdr:rowOff>3002</xdr:rowOff>
    </xdr:to>
    <xdr:pic>
      <xdr:nvPicPr>
        <xdr:cNvPr id="51" name="Рисунок 50" descr="фуга.jp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078" y="11132634"/>
          <a:ext cx="570860" cy="153970"/>
        </a:xfrm>
        <a:prstGeom prst="rect">
          <a:avLst/>
        </a:prstGeom>
      </xdr:spPr>
    </xdr:pic>
    <xdr:clientData/>
  </xdr:twoCellAnchor>
  <xdr:twoCellAnchor editAs="oneCell">
    <xdr:from>
      <xdr:col>3</xdr:col>
      <xdr:colOff>446117</xdr:colOff>
      <xdr:row>34</xdr:row>
      <xdr:rowOff>106328</xdr:rowOff>
    </xdr:from>
    <xdr:to>
      <xdr:col>3</xdr:col>
      <xdr:colOff>1087760</xdr:colOff>
      <xdr:row>34</xdr:row>
      <xdr:rowOff>297712</xdr:rowOff>
    </xdr:to>
    <xdr:pic>
      <xdr:nvPicPr>
        <xdr:cNvPr id="86" name="Рисунок 85" descr="фуга.jpg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4060" y="21344357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16</xdr:row>
      <xdr:rowOff>124811</xdr:rowOff>
    </xdr:from>
    <xdr:to>
      <xdr:col>3</xdr:col>
      <xdr:colOff>948447</xdr:colOff>
      <xdr:row>16</xdr:row>
      <xdr:rowOff>244071</xdr:rowOff>
    </xdr:to>
    <xdr:pic>
      <xdr:nvPicPr>
        <xdr:cNvPr id="50" name="Рисунок 49" descr="фуга.jp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60339" y="14290715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26</xdr:row>
      <xdr:rowOff>76371</xdr:rowOff>
    </xdr:from>
    <xdr:to>
      <xdr:col>3</xdr:col>
      <xdr:colOff>1339453</xdr:colOff>
      <xdr:row>26</xdr:row>
      <xdr:rowOff>337457</xdr:rowOff>
    </xdr:to>
    <xdr:pic>
      <xdr:nvPicPr>
        <xdr:cNvPr id="59" name="Рисунок 58" descr="фуга.jp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6961" y="14543485"/>
          <a:ext cx="1113235" cy="261086"/>
        </a:xfrm>
        <a:prstGeom prst="rect">
          <a:avLst/>
        </a:prstGeom>
      </xdr:spPr>
    </xdr:pic>
    <xdr:clientData/>
  </xdr:twoCellAnchor>
  <xdr:twoCellAnchor editAs="oneCell">
    <xdr:from>
      <xdr:col>3</xdr:col>
      <xdr:colOff>275577</xdr:colOff>
      <xdr:row>28</xdr:row>
      <xdr:rowOff>93098</xdr:rowOff>
    </xdr:from>
    <xdr:to>
      <xdr:col>3</xdr:col>
      <xdr:colOff>1292680</xdr:colOff>
      <xdr:row>28</xdr:row>
      <xdr:rowOff>353785</xdr:rowOff>
    </xdr:to>
    <xdr:pic>
      <xdr:nvPicPr>
        <xdr:cNvPr id="64" name="Picture 6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9363" y="18639634"/>
          <a:ext cx="1017103" cy="260687"/>
        </a:xfrm>
        <a:prstGeom prst="rect">
          <a:avLst/>
        </a:prstGeom>
        <a:noFill/>
      </xdr:spPr>
    </xdr:pic>
    <xdr:clientData/>
  </xdr:twoCellAnchor>
  <xdr:oneCellAnchor>
    <xdr:from>
      <xdr:col>3</xdr:col>
      <xdr:colOff>539278</xdr:colOff>
      <xdr:row>48</xdr:row>
      <xdr:rowOff>128868</xdr:rowOff>
    </xdr:from>
    <xdr:ext cx="464173" cy="105729"/>
    <xdr:pic>
      <xdr:nvPicPr>
        <xdr:cNvPr id="79" name="Рисунок 78" descr="фуга.jp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57992" y="21301582"/>
          <a:ext cx="464173" cy="105729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0" name="Picture 6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2" name="Picture 6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489660</xdr:colOff>
      <xdr:row>22</xdr:row>
      <xdr:rowOff>113738</xdr:rowOff>
    </xdr:from>
    <xdr:to>
      <xdr:col>3</xdr:col>
      <xdr:colOff>1131303</xdr:colOff>
      <xdr:row>22</xdr:row>
      <xdr:rowOff>305122</xdr:rowOff>
    </xdr:to>
    <xdr:pic>
      <xdr:nvPicPr>
        <xdr:cNvPr id="81" name="Рисунок 80" descr="фуга.jp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10403" y="1381885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243053</xdr:colOff>
      <xdr:row>23</xdr:row>
      <xdr:rowOff>98987</xdr:rowOff>
    </xdr:from>
    <xdr:to>
      <xdr:col>3</xdr:col>
      <xdr:colOff>1328735</xdr:colOff>
      <xdr:row>23</xdr:row>
      <xdr:rowOff>290372</xdr:rowOff>
    </xdr:to>
    <xdr:pic>
      <xdr:nvPicPr>
        <xdr:cNvPr id="99" name="Рисунок 98" descr="фуга.jp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63796" y="14185101"/>
          <a:ext cx="1085682" cy="191385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41</xdr:row>
      <xdr:rowOff>132297</xdr:rowOff>
    </xdr:from>
    <xdr:to>
      <xdr:col>3</xdr:col>
      <xdr:colOff>941832</xdr:colOff>
      <xdr:row>41</xdr:row>
      <xdr:rowOff>238026</xdr:rowOff>
    </xdr:to>
    <xdr:pic>
      <xdr:nvPicPr>
        <xdr:cNvPr id="37" name="Рисунок 36" descr="фуга.jp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477697"/>
          <a:ext cx="353785" cy="105729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42</xdr:row>
      <xdr:rowOff>129249</xdr:rowOff>
    </xdr:from>
    <xdr:to>
      <xdr:col>3</xdr:col>
      <xdr:colOff>941832</xdr:colOff>
      <xdr:row>42</xdr:row>
      <xdr:rowOff>234978</xdr:rowOff>
    </xdr:to>
    <xdr:pic>
      <xdr:nvPicPr>
        <xdr:cNvPr id="38" name="Рисунок 37" descr="фуга.jp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825169"/>
          <a:ext cx="353785" cy="105729"/>
        </a:xfrm>
        <a:prstGeom prst="rect">
          <a:avLst/>
        </a:prstGeom>
      </xdr:spPr>
    </xdr:pic>
    <xdr:clientData/>
  </xdr:twoCellAnchor>
  <xdr:oneCellAnchor>
    <xdr:from>
      <xdr:col>3</xdr:col>
      <xdr:colOff>575552</xdr:colOff>
      <xdr:row>17</xdr:row>
      <xdr:rowOff>124811</xdr:rowOff>
    </xdr:from>
    <xdr:ext cx="372895" cy="119260"/>
    <xdr:pic>
      <xdr:nvPicPr>
        <xdr:cNvPr id="42" name="Рисунок 41" descr="фуга.jp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96295" y="12349468"/>
          <a:ext cx="372895" cy="119260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20</xdr:row>
      <xdr:rowOff>0</xdr:rowOff>
    </xdr:from>
    <xdr:ext cx="592196" cy="3764"/>
    <xdr:pic>
      <xdr:nvPicPr>
        <xdr:cNvPr id="47" name="Рисунок 46" descr="фуга.jp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8906" y="15893143"/>
          <a:ext cx="592196" cy="3764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20</xdr:row>
      <xdr:rowOff>72706</xdr:rowOff>
    </xdr:from>
    <xdr:ext cx="383709" cy="191384"/>
    <xdr:pic>
      <xdr:nvPicPr>
        <xdr:cNvPr id="49" name="Рисунок 48" descr="фуга.jp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6168491"/>
          <a:ext cx="383709" cy="19138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52" name="Рисунок 51" descr="Блокхаус круглый.jp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51512" y="4586927"/>
          <a:ext cx="720023" cy="2563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35</xdr:row>
      <xdr:rowOff>88101</xdr:rowOff>
    </xdr:from>
    <xdr:ext cx="1085682" cy="191385"/>
    <xdr:pic>
      <xdr:nvPicPr>
        <xdr:cNvPr id="56" name="Рисунок 55" descr="фуга.jp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0996" y="22066358"/>
          <a:ext cx="1085682" cy="191385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24</xdr:row>
      <xdr:rowOff>66843</xdr:rowOff>
    </xdr:from>
    <xdr:ext cx="383709" cy="243819"/>
    <xdr:pic>
      <xdr:nvPicPr>
        <xdr:cNvPr id="69" name="Рисунок 68" descr="фуга.jp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305628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25</xdr:row>
      <xdr:rowOff>90290</xdr:rowOff>
    </xdr:from>
    <xdr:ext cx="383709" cy="243819"/>
    <xdr:pic>
      <xdr:nvPicPr>
        <xdr:cNvPr id="70" name="Рисунок 69" descr="фуга.jp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710075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40</xdr:row>
      <xdr:rowOff>138393</xdr:rowOff>
    </xdr:from>
    <xdr:ext cx="353785" cy="105729"/>
    <xdr:pic>
      <xdr:nvPicPr>
        <xdr:cNvPr id="71" name="Рисунок 70" descr="фуга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65990" y="24946936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330769</xdr:colOff>
      <xdr:row>11</xdr:row>
      <xdr:rowOff>0</xdr:rowOff>
    </xdr:from>
    <xdr:ext cx="720023" cy="2563"/>
    <xdr:pic>
      <xdr:nvPicPr>
        <xdr:cNvPr id="73" name="Рисунок 72" descr="Блокхаус круглый.jp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08712" y="4859070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29</xdr:row>
      <xdr:rowOff>93098</xdr:rowOff>
    </xdr:from>
    <xdr:ext cx="1017103" cy="260687"/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19774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3" name="Picture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588047</xdr:colOff>
      <xdr:row>43</xdr:row>
      <xdr:rowOff>129249</xdr:rowOff>
    </xdr:from>
    <xdr:ext cx="353785" cy="105729"/>
    <xdr:pic>
      <xdr:nvPicPr>
        <xdr:cNvPr id="14" name="Рисунок 13" descr="фуга.jp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8682478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44</xdr:row>
      <xdr:rowOff>129249</xdr:rowOff>
    </xdr:from>
    <xdr:ext cx="353785" cy="105729"/>
    <xdr:pic>
      <xdr:nvPicPr>
        <xdr:cNvPr id="24" name="Рисунок 23" descr="фуга.jp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9379163"/>
          <a:ext cx="353785" cy="105729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21</xdr:row>
      <xdr:rowOff>55418</xdr:rowOff>
    </xdr:from>
    <xdr:to>
      <xdr:col>1</xdr:col>
      <xdr:colOff>1732809</xdr:colOff>
      <xdr:row>21</xdr:row>
      <xdr:rowOff>395842</xdr:rowOff>
    </xdr:to>
    <xdr:pic>
      <xdr:nvPicPr>
        <xdr:cNvPr id="67" name="Рисунок 66" descr="C:\Users\Алексей\Desktop\62102b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9767454"/>
          <a:ext cx="1687286" cy="34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489660</xdr:colOff>
      <xdr:row>21</xdr:row>
      <xdr:rowOff>128582</xdr:rowOff>
    </xdr:from>
    <xdr:to>
      <xdr:col>3</xdr:col>
      <xdr:colOff>1131303</xdr:colOff>
      <xdr:row>21</xdr:row>
      <xdr:rowOff>271779</xdr:rowOff>
    </xdr:to>
    <xdr:pic>
      <xdr:nvPicPr>
        <xdr:cNvPr id="84" name="Рисунок 83" descr="фуга.jp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43198" y="10615607"/>
          <a:ext cx="641643" cy="143197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448236</xdr:colOff>
      <xdr:row>27</xdr:row>
      <xdr:rowOff>55420</xdr:rowOff>
    </xdr:from>
    <xdr:to>
      <xdr:col>3</xdr:col>
      <xdr:colOff>1120590</xdr:colOff>
      <xdr:row>27</xdr:row>
      <xdr:rowOff>337637</xdr:rowOff>
    </xdr:to>
    <xdr:pic>
      <xdr:nvPicPr>
        <xdr:cNvPr id="91" name="Рисунок 90" descr="фуга.jpg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89218" y="14034656"/>
          <a:ext cx="672354" cy="282217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37</xdr:row>
      <xdr:rowOff>60391</xdr:rowOff>
    </xdr:from>
    <xdr:ext cx="1085682" cy="285972"/>
    <xdr:pic>
      <xdr:nvPicPr>
        <xdr:cNvPr id="93" name="Рисунок 92" descr="фуга.jp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21271700"/>
          <a:ext cx="1085682" cy="285972"/>
        </a:xfrm>
        <a:prstGeom prst="rect">
          <a:avLst/>
        </a:prstGeom>
      </xdr:spPr>
    </xdr:pic>
    <xdr:clientData/>
  </xdr:oneCellAnchor>
  <xdr:oneCellAnchor>
    <xdr:from>
      <xdr:col>3</xdr:col>
      <xdr:colOff>243053</xdr:colOff>
      <xdr:row>36</xdr:row>
      <xdr:rowOff>74244</xdr:rowOff>
    </xdr:from>
    <xdr:ext cx="1085682" cy="285972"/>
    <xdr:pic>
      <xdr:nvPicPr>
        <xdr:cNvPr id="94" name="Рисунок 93" descr="фуга.jp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16962935"/>
          <a:ext cx="1085682" cy="285972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40</xdr:row>
      <xdr:rowOff>72736</xdr:rowOff>
    </xdr:from>
    <xdr:to>
      <xdr:col>1</xdr:col>
      <xdr:colOff>1732809</xdr:colOff>
      <xdr:row>40</xdr:row>
      <xdr:rowOff>413160</xdr:rowOff>
    </xdr:to>
    <xdr:pic>
      <xdr:nvPicPr>
        <xdr:cNvPr id="89" name="Рисунок 88" descr="C:\Users\Алексей\Desktop\62102b.jp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413191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41</xdr:row>
      <xdr:rowOff>72737</xdr:rowOff>
    </xdr:from>
    <xdr:to>
      <xdr:col>1</xdr:col>
      <xdr:colOff>1732809</xdr:colOff>
      <xdr:row>41</xdr:row>
      <xdr:rowOff>413161</xdr:rowOff>
    </xdr:to>
    <xdr:pic>
      <xdr:nvPicPr>
        <xdr:cNvPr id="96" name="Рисунок 95" descr="C:\Users\Алексей\Desktop\62102b.jp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846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42</xdr:row>
      <xdr:rowOff>20782</xdr:rowOff>
    </xdr:from>
    <xdr:to>
      <xdr:col>1</xdr:col>
      <xdr:colOff>1732809</xdr:colOff>
      <xdr:row>42</xdr:row>
      <xdr:rowOff>361206</xdr:rowOff>
    </xdr:to>
    <xdr:pic>
      <xdr:nvPicPr>
        <xdr:cNvPr id="97" name="Рисунок 96" descr="C:\Users\Алексей\Desktop\62102b.jp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3227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418163</xdr:colOff>
      <xdr:row>15</xdr:row>
      <xdr:rowOff>0</xdr:rowOff>
    </xdr:from>
    <xdr:to>
      <xdr:col>3</xdr:col>
      <xdr:colOff>1010359</xdr:colOff>
      <xdr:row>15</xdr:row>
      <xdr:rowOff>3002</xdr:rowOff>
    </xdr:to>
    <xdr:pic>
      <xdr:nvPicPr>
        <xdr:cNvPr id="65" name="Рисунок 64" descr="фуга.jp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59145" y="5929745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15</xdr:row>
      <xdr:rowOff>124811</xdr:rowOff>
    </xdr:from>
    <xdr:to>
      <xdr:col>3</xdr:col>
      <xdr:colOff>948447</xdr:colOff>
      <xdr:row>15</xdr:row>
      <xdr:rowOff>244071</xdr:rowOff>
    </xdr:to>
    <xdr:pic>
      <xdr:nvPicPr>
        <xdr:cNvPr id="102" name="Рисунок 101" descr="фуга.jp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16534" y="6054556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18</xdr:row>
      <xdr:rowOff>155302</xdr:rowOff>
    </xdr:from>
    <xdr:to>
      <xdr:col>3</xdr:col>
      <xdr:colOff>1131303</xdr:colOff>
      <xdr:row>18</xdr:row>
      <xdr:rowOff>346686</xdr:rowOff>
    </xdr:to>
    <xdr:pic>
      <xdr:nvPicPr>
        <xdr:cNvPr id="103" name="Рисунок 102" descr="фуга.jp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23250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19</xdr:row>
      <xdr:rowOff>127593</xdr:rowOff>
    </xdr:from>
    <xdr:to>
      <xdr:col>3</xdr:col>
      <xdr:colOff>1131303</xdr:colOff>
      <xdr:row>19</xdr:row>
      <xdr:rowOff>318977</xdr:rowOff>
    </xdr:to>
    <xdr:pic>
      <xdr:nvPicPr>
        <xdr:cNvPr id="104" name="Рисунок 103" descr="фуга.jp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634284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45523</xdr:colOff>
      <xdr:row>29</xdr:row>
      <xdr:rowOff>41564</xdr:rowOff>
    </xdr:from>
    <xdr:to>
      <xdr:col>1</xdr:col>
      <xdr:colOff>1732809</xdr:colOff>
      <xdr:row>29</xdr:row>
      <xdr:rowOff>381988</xdr:rowOff>
    </xdr:to>
    <xdr:pic>
      <xdr:nvPicPr>
        <xdr:cNvPr id="72" name="Рисунок 71" descr="C:\Users\Алексей\Desktop\62102b.jp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2843164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31</xdr:row>
      <xdr:rowOff>41564</xdr:rowOff>
    </xdr:from>
    <xdr:to>
      <xdr:col>1</xdr:col>
      <xdr:colOff>1732809</xdr:colOff>
      <xdr:row>31</xdr:row>
      <xdr:rowOff>381988</xdr:rowOff>
    </xdr:to>
    <xdr:pic>
      <xdr:nvPicPr>
        <xdr:cNvPr id="105" name="Рисунок 104" descr="C:\Users\Алексей\Desktop\62102b.jp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3702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588047</xdr:colOff>
      <xdr:row>47</xdr:row>
      <xdr:rowOff>129249</xdr:rowOff>
    </xdr:from>
    <xdr:ext cx="353785" cy="105729"/>
    <xdr:pic>
      <xdr:nvPicPr>
        <xdr:cNvPr id="45" name="Рисунок 44" descr="фуга.jp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1202013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45</xdr:row>
      <xdr:rowOff>129249</xdr:rowOff>
    </xdr:from>
    <xdr:ext cx="353785" cy="105729"/>
    <xdr:pic>
      <xdr:nvPicPr>
        <xdr:cNvPr id="46" name="Рисунок 45" descr="фуга.jp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2490485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46</xdr:row>
      <xdr:rowOff>129249</xdr:rowOff>
    </xdr:from>
    <xdr:ext cx="353785" cy="105729"/>
    <xdr:pic>
      <xdr:nvPicPr>
        <xdr:cNvPr id="48" name="Рисунок 47" descr="фуга.jp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1631504"/>
          <a:ext cx="353785" cy="10572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9526</xdr:rowOff>
    </xdr:from>
    <xdr:to>
      <xdr:col>2</xdr:col>
      <xdr:colOff>1080821</xdr:colOff>
      <xdr:row>3</xdr:row>
      <xdr:rowOff>198120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4786"/>
          <a:ext cx="2917241" cy="63055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21</xdr:row>
      <xdr:rowOff>22860</xdr:rowOff>
    </xdr:from>
    <xdr:to>
      <xdr:col>1</xdr:col>
      <xdr:colOff>1211580</xdr:colOff>
      <xdr:row>21</xdr:row>
      <xdr:rowOff>255488</xdr:rowOff>
    </xdr:to>
    <xdr:pic>
      <xdr:nvPicPr>
        <xdr:cNvPr id="21" name="Рисунок 20" descr="C:\Users\Алексей\Desktop\62102b.jpg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556260" y="6553200"/>
          <a:ext cx="1127760" cy="23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246055</xdr:colOff>
      <xdr:row>33</xdr:row>
      <xdr:rowOff>512621</xdr:rowOff>
    </xdr:from>
    <xdr:to>
      <xdr:col>4</xdr:col>
      <xdr:colOff>1411037</xdr:colOff>
      <xdr:row>34</xdr:row>
      <xdr:rowOff>113764</xdr:rowOff>
    </xdr:to>
    <xdr:pic>
      <xdr:nvPicPr>
        <xdr:cNvPr id="10" name="Рисунок 9" descr="Вагонка.jpg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7655" y="15087603"/>
          <a:ext cx="1164982" cy="15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469887</xdr:colOff>
      <xdr:row>4</xdr:row>
      <xdr:rowOff>69274</xdr:rowOff>
    </xdr:from>
    <xdr:to>
      <xdr:col>3</xdr:col>
      <xdr:colOff>5070764</xdr:colOff>
      <xdr:row>6</xdr:row>
      <xdr:rowOff>414776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3342" y="1149929"/>
          <a:ext cx="5778513" cy="1315320"/>
        </a:xfrm>
        <a:prstGeom prst="rect">
          <a:avLst/>
        </a:prstGeom>
      </xdr:spPr>
    </xdr:pic>
    <xdr:clientData/>
  </xdr:twoCellAnchor>
  <xdr:oneCellAnchor>
    <xdr:from>
      <xdr:col>4</xdr:col>
      <xdr:colOff>51954</xdr:colOff>
      <xdr:row>52</xdr:row>
      <xdr:rowOff>492868</xdr:rowOff>
    </xdr:from>
    <xdr:ext cx="1541369" cy="174084"/>
    <xdr:pic>
      <xdr:nvPicPr>
        <xdr:cNvPr id="12" name="Рисунок 11" descr="Штиль.jp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62604" y="29067868"/>
          <a:ext cx="1541369" cy="174084"/>
        </a:xfrm>
        <a:prstGeom prst="rect">
          <a:avLst/>
        </a:prstGeom>
      </xdr:spPr>
    </xdr:pic>
    <xdr:clientData/>
  </xdr:oneCellAnchor>
  <xdr:oneCellAnchor>
    <xdr:from>
      <xdr:col>4</xdr:col>
      <xdr:colOff>246055</xdr:colOff>
      <xdr:row>22</xdr:row>
      <xdr:rowOff>512621</xdr:rowOff>
    </xdr:from>
    <xdr:ext cx="1164982" cy="155325"/>
    <xdr:pic>
      <xdr:nvPicPr>
        <xdr:cNvPr id="18" name="Рисунок 17" descr="Вагонка.jpg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737" y="19198939"/>
          <a:ext cx="1164982" cy="1553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54225</xdr:colOff>
      <xdr:row>0</xdr:row>
      <xdr:rowOff>173731</xdr:rowOff>
    </xdr:from>
    <xdr:ext cx="2292736" cy="436263"/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25" y="173731"/>
          <a:ext cx="2292736" cy="436263"/>
        </a:xfrm>
        <a:prstGeom prst="rect">
          <a:avLst/>
        </a:prstGeom>
      </xdr:spPr>
    </xdr:pic>
    <xdr:clientData/>
  </xdr:oneCellAnchor>
  <xdr:oneCellAnchor>
    <xdr:from>
      <xdr:col>2</xdr:col>
      <xdr:colOff>608528</xdr:colOff>
      <xdr:row>19</xdr:row>
      <xdr:rowOff>82134</xdr:rowOff>
    </xdr:from>
    <xdr:ext cx="4656" cy="401730"/>
    <xdr:pic>
      <xdr:nvPicPr>
        <xdr:cNvPr id="5" name="Picture 60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6128" y="5063709"/>
          <a:ext cx="1061931" cy="849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12193</xdr:rowOff>
    </xdr:from>
    <xdr:ext cx="1636" cy="829290"/>
    <xdr:pic>
      <xdr:nvPicPr>
        <xdr:cNvPr id="7" name="Picture 61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7863" y="2698243"/>
          <a:ext cx="1227089" cy="829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34</xdr:row>
      <xdr:rowOff>0</xdr:rowOff>
    </xdr:from>
    <xdr:ext cx="3726" cy="324773"/>
    <xdr:pic>
      <xdr:nvPicPr>
        <xdr:cNvPr id="13" name="Picture 654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553" r="2602" b="6041"/>
        <a:stretch>
          <a:fillRect/>
        </a:stretch>
      </xdr:blipFill>
      <xdr:spPr bwMode="auto">
        <a:xfrm>
          <a:off x="4195397" y="7909222"/>
          <a:ext cx="1129749" cy="80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34</xdr:row>
      <xdr:rowOff>0</xdr:rowOff>
    </xdr:from>
    <xdr:ext cx="3664" cy="289664"/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539" r="5799"/>
        <a:stretch>
          <a:fillRect/>
        </a:stretch>
      </xdr:blipFill>
      <xdr:spPr bwMode="auto">
        <a:xfrm>
          <a:off x="4324364" y="9541645"/>
          <a:ext cx="844061" cy="908789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851" cy="468585"/>
    <xdr:pic>
      <xdr:nvPicPr>
        <xdr:cNvPr id="20" name="Picture 652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4515921" y="17304651"/>
          <a:ext cx="700999" cy="65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606644</xdr:colOff>
      <xdr:row>43</xdr:row>
      <xdr:rowOff>24847</xdr:rowOff>
    </xdr:from>
    <xdr:ext cx="1642" cy="295573"/>
    <xdr:pic>
      <xdr:nvPicPr>
        <xdr:cNvPr id="25" name="Рисунок 24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t="43746" r="59282" b="15727"/>
        <a:stretch>
          <a:fillRect/>
        </a:stretch>
      </xdr:blipFill>
      <xdr:spPr bwMode="auto">
        <a:xfrm>
          <a:off x="4216619" y="18293797"/>
          <a:ext cx="525517" cy="46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50227</xdr:rowOff>
    </xdr:from>
    <xdr:ext cx="1464" cy="834645"/>
    <xdr:pic>
      <xdr:nvPicPr>
        <xdr:cNvPr id="26" name="Picture 60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8121" y="3460177"/>
          <a:ext cx="1268289" cy="83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608249</xdr:colOff>
      <xdr:row>16</xdr:row>
      <xdr:rowOff>156050</xdr:rowOff>
    </xdr:from>
    <xdr:ext cx="2132" cy="670072"/>
    <xdr:pic>
      <xdr:nvPicPr>
        <xdr:cNvPr id="28" name="Picture 606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65849" y="4289900"/>
          <a:ext cx="1059407" cy="831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180265</xdr:colOff>
      <xdr:row>43</xdr:row>
      <xdr:rowOff>28574</xdr:rowOff>
    </xdr:from>
    <xdr:to>
      <xdr:col>2</xdr:col>
      <xdr:colOff>2341372</xdr:colOff>
      <xdr:row>50</xdr:row>
      <xdr:rowOff>182880</xdr:rowOff>
    </xdr:to>
    <xdr:pic>
      <xdr:nvPicPr>
        <xdr:cNvPr id="30" name="Рисунок 29" descr="C:\Users\Алексей\Desktop\2467_0.jpg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93085" y="10300334"/>
          <a:ext cx="2161107" cy="164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65422</xdr:colOff>
      <xdr:row>14</xdr:row>
      <xdr:rowOff>238123</xdr:rowOff>
    </xdr:from>
    <xdr:to>
      <xdr:col>2</xdr:col>
      <xdr:colOff>2440305</xdr:colOff>
      <xdr:row>23</xdr:row>
      <xdr:rowOff>53340</xdr:rowOff>
    </xdr:to>
    <xdr:pic>
      <xdr:nvPicPr>
        <xdr:cNvPr id="31" name="Рисунок 30" descr="C:\Users\Алексей\Desktop\vagonka-osina-250x250.jpg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r="13659" b="15001"/>
        <a:stretch>
          <a:fillRect/>
        </a:stretch>
      </xdr:blipFill>
      <xdr:spPr bwMode="auto">
        <a:xfrm>
          <a:off x="3578242" y="3148963"/>
          <a:ext cx="2374883" cy="1994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779145</xdr:colOff>
      <xdr:row>38</xdr:row>
      <xdr:rowOff>53340</xdr:rowOff>
    </xdr:from>
    <xdr:to>
      <xdr:col>2</xdr:col>
      <xdr:colOff>1962401</xdr:colOff>
      <xdr:row>41</xdr:row>
      <xdr:rowOff>175260</xdr:rowOff>
    </xdr:to>
    <xdr:pic>
      <xdr:nvPicPr>
        <xdr:cNvPr id="22" name="Рисунок 21" descr="C:\Users\Алексей\Desktop\Плинтус осина.jpeg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/>
        <a:srcRect l="17553" t="24240" r="17420" b="29388"/>
        <a:stretch/>
      </xdr:blipFill>
      <xdr:spPr bwMode="auto">
        <a:xfrm>
          <a:off x="4291965" y="9174480"/>
          <a:ext cx="1183256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680085</xdr:colOff>
      <xdr:row>35</xdr:row>
      <xdr:rowOff>22860</xdr:rowOff>
    </xdr:from>
    <xdr:to>
      <xdr:col>2</xdr:col>
      <xdr:colOff>1845183</xdr:colOff>
      <xdr:row>36</xdr:row>
      <xdr:rowOff>335280</xdr:rowOff>
    </xdr:to>
    <xdr:pic>
      <xdr:nvPicPr>
        <xdr:cNvPr id="24" name="Рисунок 23" descr="C:\Users\Алексей\Desktop\Наличник осина.jpg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/>
        <a:srcRect t="14873" b="4103"/>
        <a:stretch/>
      </xdr:blipFill>
      <xdr:spPr bwMode="auto">
        <a:xfrm>
          <a:off x="4192905" y="8298180"/>
          <a:ext cx="1165098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190499</xdr:colOff>
      <xdr:row>29</xdr:row>
      <xdr:rowOff>91440</xdr:rowOff>
    </xdr:from>
    <xdr:to>
      <xdr:col>2</xdr:col>
      <xdr:colOff>2305793</xdr:colOff>
      <xdr:row>32</xdr:row>
      <xdr:rowOff>249555</xdr:rowOff>
    </xdr:to>
    <xdr:pic>
      <xdr:nvPicPr>
        <xdr:cNvPr id="29" name="Рисунок 28" descr="C:\Users\Алексей\Desktop\Раскладка осина.jpg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18115" t="57408" r="29580" b="8935"/>
        <a:stretch>
          <a:fillRect/>
        </a:stretch>
      </xdr:blipFill>
      <xdr:spPr bwMode="auto">
        <a:xfrm>
          <a:off x="3703319" y="6195060"/>
          <a:ext cx="2115294" cy="1301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605202</xdr:colOff>
      <xdr:row>34</xdr:row>
      <xdr:rowOff>0</xdr:rowOff>
    </xdr:from>
    <xdr:ext cx="5129" cy="192698"/>
    <xdr:pic>
      <xdr:nvPicPr>
        <xdr:cNvPr id="32" name="Picture 656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252" r="9181" b="11590"/>
        <a:stretch>
          <a:fillRect/>
        </a:stretch>
      </xdr:blipFill>
      <xdr:spPr bwMode="auto">
        <a:xfrm>
          <a:off x="3481752" y="8029575"/>
          <a:ext cx="5129" cy="192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43</xdr:row>
      <xdr:rowOff>0</xdr:rowOff>
    </xdr:from>
    <xdr:ext cx="3851" cy="468585"/>
    <xdr:pic>
      <xdr:nvPicPr>
        <xdr:cNvPr id="2" name="Picture 65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44</xdr:row>
      <xdr:rowOff>0</xdr:rowOff>
    </xdr:from>
    <xdr:ext cx="3851" cy="468585"/>
    <xdr:pic>
      <xdr:nvPicPr>
        <xdr:cNvPr id="4" name="Picture 65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45</xdr:row>
      <xdr:rowOff>0</xdr:rowOff>
    </xdr:from>
    <xdr:ext cx="3851" cy="468585"/>
    <xdr:pic>
      <xdr:nvPicPr>
        <xdr:cNvPr id="6" name="Picture 65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46</xdr:row>
      <xdr:rowOff>0</xdr:rowOff>
    </xdr:from>
    <xdr:ext cx="3851" cy="468585"/>
    <xdr:pic>
      <xdr:nvPicPr>
        <xdr:cNvPr id="8" name="Picture 65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47</xdr:row>
      <xdr:rowOff>0</xdr:rowOff>
    </xdr:from>
    <xdr:ext cx="3851" cy="468585"/>
    <xdr:pic>
      <xdr:nvPicPr>
        <xdr:cNvPr id="9" name="Picture 652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48</xdr:row>
      <xdr:rowOff>0</xdr:rowOff>
    </xdr:from>
    <xdr:ext cx="3851" cy="468585"/>
    <xdr:pic>
      <xdr:nvPicPr>
        <xdr:cNvPr id="10" name="Picture 65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49</xdr:row>
      <xdr:rowOff>0</xdr:rowOff>
    </xdr:from>
    <xdr:ext cx="3851" cy="468585"/>
    <xdr:pic>
      <xdr:nvPicPr>
        <xdr:cNvPr id="11" name="Picture 652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67681</xdr:colOff>
      <xdr:row>18</xdr:row>
      <xdr:rowOff>13855</xdr:rowOff>
    </xdr:from>
    <xdr:to>
      <xdr:col>3</xdr:col>
      <xdr:colOff>1443824</xdr:colOff>
      <xdr:row>18</xdr:row>
      <xdr:rowOff>379640</xdr:rowOff>
    </xdr:to>
    <xdr:pic>
      <xdr:nvPicPr>
        <xdr:cNvPr id="3" name="Рисунок 2" descr="Блокхаус плоский.jp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08663" y="7772400"/>
          <a:ext cx="1376143" cy="365785"/>
        </a:xfrm>
        <a:prstGeom prst="rect">
          <a:avLst/>
        </a:prstGeom>
      </xdr:spPr>
    </xdr:pic>
    <xdr:clientData/>
  </xdr:twoCellAnchor>
  <xdr:twoCellAnchor editAs="oneCell">
    <xdr:from>
      <xdr:col>3</xdr:col>
      <xdr:colOff>355503</xdr:colOff>
      <xdr:row>34</xdr:row>
      <xdr:rowOff>0</xdr:rowOff>
    </xdr:from>
    <xdr:to>
      <xdr:col>3</xdr:col>
      <xdr:colOff>1015053</xdr:colOff>
      <xdr:row>34</xdr:row>
      <xdr:rowOff>1265</xdr:rowOff>
    </xdr:to>
    <xdr:pic>
      <xdr:nvPicPr>
        <xdr:cNvPr id="4" name="Рисунок 3" descr="фуга.jp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6183" y="25984200"/>
          <a:ext cx="659550" cy="1265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8</xdr:row>
      <xdr:rowOff>64954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10185" y="1260918"/>
          <a:ext cx="5777307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14</xdr:row>
      <xdr:rowOff>102013</xdr:rowOff>
    </xdr:from>
    <xdr:to>
      <xdr:col>3</xdr:col>
      <xdr:colOff>1050792</xdr:colOff>
      <xdr:row>14</xdr:row>
      <xdr:rowOff>104576</xdr:rowOff>
    </xdr:to>
    <xdr:pic>
      <xdr:nvPicPr>
        <xdr:cNvPr id="6" name="Рисунок 5" descr="Блокхаус круглый.jp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43245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34</xdr:row>
      <xdr:rowOff>0</xdr:rowOff>
    </xdr:from>
    <xdr:to>
      <xdr:col>3</xdr:col>
      <xdr:colOff>1010359</xdr:colOff>
      <xdr:row>34</xdr:row>
      <xdr:rowOff>3002</xdr:rowOff>
    </xdr:to>
    <xdr:pic>
      <xdr:nvPicPr>
        <xdr:cNvPr id="7" name="Рисунок 6" descr="фуга.jpg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7670780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14</xdr:row>
      <xdr:rowOff>96981</xdr:rowOff>
    </xdr:from>
    <xdr:to>
      <xdr:col>3</xdr:col>
      <xdr:colOff>1205282</xdr:colOff>
      <xdr:row>14</xdr:row>
      <xdr:rowOff>290945</xdr:rowOff>
    </xdr:to>
    <xdr:pic>
      <xdr:nvPicPr>
        <xdr:cNvPr id="8" name="Рисунок 7" descr="Блокхаус круглый.jpg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359236"/>
          <a:ext cx="862383" cy="193964"/>
        </a:xfrm>
        <a:prstGeom prst="rect">
          <a:avLst/>
        </a:prstGeom>
      </xdr:spPr>
    </xdr:pic>
    <xdr:clientData/>
  </xdr:twoCellAnchor>
  <xdr:oneCellAnchor>
    <xdr:from>
      <xdr:col>3</xdr:col>
      <xdr:colOff>229727</xdr:colOff>
      <xdr:row>28</xdr:row>
      <xdr:rowOff>199495</xdr:rowOff>
    </xdr:from>
    <xdr:ext cx="1107406" cy="307525"/>
    <xdr:pic>
      <xdr:nvPicPr>
        <xdr:cNvPr id="24" name="Рисунок 23" descr="Доска пола.jpg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70709" y="10756659"/>
          <a:ext cx="1107406" cy="307525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34</xdr:row>
      <xdr:rowOff>0</xdr:rowOff>
    </xdr:from>
    <xdr:ext cx="592196" cy="3764"/>
    <xdr:pic>
      <xdr:nvPicPr>
        <xdr:cNvPr id="25" name="Рисунок 24" descr="фуга.jp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8432780"/>
          <a:ext cx="592196" cy="376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17</xdr:row>
      <xdr:rowOff>102013</xdr:rowOff>
    </xdr:from>
    <xdr:to>
      <xdr:col>3</xdr:col>
      <xdr:colOff>1050792</xdr:colOff>
      <xdr:row>17</xdr:row>
      <xdr:rowOff>104576</xdr:rowOff>
    </xdr:to>
    <xdr:pic>
      <xdr:nvPicPr>
        <xdr:cNvPr id="27" name="Рисунок 26" descr="Блокхаус круглый.jpg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858307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17</xdr:row>
      <xdr:rowOff>85725</xdr:rowOff>
    </xdr:from>
    <xdr:to>
      <xdr:col>3</xdr:col>
      <xdr:colOff>1205282</xdr:colOff>
      <xdr:row>17</xdr:row>
      <xdr:rowOff>295275</xdr:rowOff>
    </xdr:to>
    <xdr:pic>
      <xdr:nvPicPr>
        <xdr:cNvPr id="28" name="Рисунок 27" descr="Блокхаус круглый.jpg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3579" y="8566785"/>
          <a:ext cx="862383" cy="209550"/>
        </a:xfrm>
        <a:prstGeom prst="rect">
          <a:avLst/>
        </a:prstGeom>
      </xdr:spPr>
    </xdr:pic>
    <xdr:clientData/>
  </xdr:twoCellAnchor>
  <xdr:twoCellAnchor editAs="oneCell">
    <xdr:from>
      <xdr:col>3</xdr:col>
      <xdr:colOff>37424</xdr:colOff>
      <xdr:row>16</xdr:row>
      <xdr:rowOff>13856</xdr:rowOff>
    </xdr:from>
    <xdr:to>
      <xdr:col>3</xdr:col>
      <xdr:colOff>1476616</xdr:colOff>
      <xdr:row>16</xdr:row>
      <xdr:rowOff>382114</xdr:rowOff>
    </xdr:to>
    <xdr:pic>
      <xdr:nvPicPr>
        <xdr:cNvPr id="29" name="Рисунок 28" descr="Блокхаус круглый.jpg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6996547"/>
          <a:ext cx="1439192" cy="368258"/>
        </a:xfrm>
        <a:prstGeom prst="rect">
          <a:avLst/>
        </a:prstGeom>
      </xdr:spPr>
    </xdr:pic>
    <xdr:clientData/>
  </xdr:twoCellAnchor>
  <xdr:oneCellAnchor>
    <xdr:from>
      <xdr:col>3</xdr:col>
      <xdr:colOff>330769</xdr:colOff>
      <xdr:row>15</xdr:row>
      <xdr:rowOff>102013</xdr:rowOff>
    </xdr:from>
    <xdr:ext cx="720023" cy="2563"/>
    <xdr:pic>
      <xdr:nvPicPr>
        <xdr:cNvPr id="39" name="Рисунок 38" descr="Блокхаус круглый.jpg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798213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342899</xdr:colOff>
      <xdr:row>15</xdr:row>
      <xdr:rowOff>29688</xdr:rowOff>
    </xdr:from>
    <xdr:ext cx="862383" cy="293914"/>
    <xdr:pic>
      <xdr:nvPicPr>
        <xdr:cNvPr id="40" name="Рисунок 39" descr="Блокхаус круглый.jp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652161"/>
          <a:ext cx="862383" cy="293914"/>
        </a:xfrm>
        <a:prstGeom prst="rect">
          <a:avLst/>
        </a:prstGeom>
      </xdr:spPr>
    </xdr:pic>
    <xdr:clientData/>
  </xdr:oneCellAnchor>
  <xdr:twoCellAnchor editAs="oneCell">
    <xdr:from>
      <xdr:col>3</xdr:col>
      <xdr:colOff>37424</xdr:colOff>
      <xdr:row>19</xdr:row>
      <xdr:rowOff>41564</xdr:rowOff>
    </xdr:from>
    <xdr:to>
      <xdr:col>3</xdr:col>
      <xdr:colOff>1476616</xdr:colOff>
      <xdr:row>19</xdr:row>
      <xdr:rowOff>409822</xdr:rowOff>
    </xdr:to>
    <xdr:pic>
      <xdr:nvPicPr>
        <xdr:cNvPr id="61" name="Рисунок 60" descr="Блокхаус круглый.jpg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8243455"/>
          <a:ext cx="1439192" cy="3682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26</xdr:row>
      <xdr:rowOff>32660</xdr:rowOff>
    </xdr:from>
    <xdr:to>
      <xdr:col>1</xdr:col>
      <xdr:colOff>1764848</xdr:colOff>
      <xdr:row>26</xdr:row>
      <xdr:rowOff>363188</xdr:rowOff>
    </xdr:to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818905" y="11324115"/>
          <a:ext cx="1687286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87087</xdr:colOff>
      <xdr:row>31</xdr:row>
      <xdr:rowOff>29196</xdr:rowOff>
    </xdr:from>
    <xdr:to>
      <xdr:col>1</xdr:col>
      <xdr:colOff>1764848</xdr:colOff>
      <xdr:row>31</xdr:row>
      <xdr:rowOff>359724</xdr:rowOff>
    </xdr:to>
    <xdr:pic>
      <xdr:nvPicPr>
        <xdr:cNvPr id="19" name="Рисунок 18" descr="C:\Users\Алексей\Desktop\62102b.jpg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66951" y="12099969"/>
          <a:ext cx="1677761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98275</xdr:colOff>
      <xdr:row>27</xdr:row>
      <xdr:rowOff>12586</xdr:rowOff>
    </xdr:from>
    <xdr:to>
      <xdr:col>2</xdr:col>
      <xdr:colOff>1593700</xdr:colOff>
      <xdr:row>28</xdr:row>
      <xdr:rowOff>379</xdr:rowOff>
    </xdr:to>
    <xdr:pic>
      <xdr:nvPicPr>
        <xdr:cNvPr id="5" name="Рисунок 4" descr="Имитация бруса.jp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4455" y="7464946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31372</xdr:rowOff>
    </xdr:from>
    <xdr:to>
      <xdr:col>1</xdr:col>
      <xdr:colOff>1457739</xdr:colOff>
      <xdr:row>3</xdr:row>
      <xdr:rowOff>196734</xdr:rowOff>
    </xdr:to>
    <xdr:pic>
      <xdr:nvPicPr>
        <xdr:cNvPr id="11" name="Рисунок 10" descr="ЛЕС У НАС.png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3285"/>
          <a:ext cx="2736574" cy="6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14</xdr:row>
      <xdr:rowOff>0</xdr:rowOff>
    </xdr:from>
    <xdr:to>
      <xdr:col>1</xdr:col>
      <xdr:colOff>195</xdr:colOff>
      <xdr:row>14</xdr:row>
      <xdr:rowOff>232297</xdr:rowOff>
    </xdr:to>
    <xdr:pic>
      <xdr:nvPicPr>
        <xdr:cNvPr id="16" name="Рисунок 15" descr="C:\Users\Алексей\Desktop\62102b.jpg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t="32051" b="33151"/>
        <a:stretch>
          <a:fillRect/>
        </a:stretch>
      </xdr:blipFill>
      <xdr:spPr bwMode="auto">
        <a:xfrm>
          <a:off x="116288" y="4909931"/>
          <a:ext cx="11277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238539</xdr:colOff>
      <xdr:row>11</xdr:row>
      <xdr:rowOff>152399</xdr:rowOff>
    </xdr:from>
    <xdr:to>
      <xdr:col>2</xdr:col>
      <xdr:colOff>1404194</xdr:colOff>
      <xdr:row>12</xdr:row>
      <xdr:rowOff>79874</xdr:rowOff>
    </xdr:to>
    <xdr:pic>
      <xdr:nvPicPr>
        <xdr:cNvPr id="17" name="Рисунок 16" descr="Имитация бруса.jpg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2400" y="3472069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238539</xdr:colOff>
      <xdr:row>14</xdr:row>
      <xdr:rowOff>152399</xdr:rowOff>
    </xdr:from>
    <xdr:to>
      <xdr:col>2</xdr:col>
      <xdr:colOff>1404194</xdr:colOff>
      <xdr:row>15</xdr:row>
      <xdr:rowOff>79874</xdr:rowOff>
    </xdr:to>
    <xdr:pic>
      <xdr:nvPicPr>
        <xdr:cNvPr id="8" name="Рисунок 7" descr="Имитация бруса.jpg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2400" y="4247321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74421</xdr:colOff>
      <xdr:row>33</xdr:row>
      <xdr:rowOff>84480</xdr:rowOff>
    </xdr:from>
    <xdr:to>
      <xdr:col>2</xdr:col>
      <xdr:colOff>1569846</xdr:colOff>
      <xdr:row>34</xdr:row>
      <xdr:rowOff>71590</xdr:rowOff>
    </xdr:to>
    <xdr:pic>
      <xdr:nvPicPr>
        <xdr:cNvPr id="9" name="Рисунок 8" descr="Имитация бруса.jpg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98282" y="10381419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15</xdr:row>
      <xdr:rowOff>22860</xdr:rowOff>
    </xdr:from>
    <xdr:to>
      <xdr:col>1</xdr:col>
      <xdr:colOff>195</xdr:colOff>
      <xdr:row>15</xdr:row>
      <xdr:rowOff>255157</xdr:rowOff>
    </xdr:to>
    <xdr:pic>
      <xdr:nvPicPr>
        <xdr:cNvPr id="10" name="Рисунок 9" descr="C:\Users\Алексей\Desktop\62102b.jpg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t="32051" b="33151"/>
        <a:stretch>
          <a:fillRect/>
        </a:stretch>
      </xdr:blipFill>
      <xdr:spPr bwMode="auto">
        <a:xfrm>
          <a:off x="116288" y="4366260"/>
          <a:ext cx="11277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75415</xdr:colOff>
      <xdr:row>21</xdr:row>
      <xdr:rowOff>129540</xdr:rowOff>
    </xdr:from>
    <xdr:to>
      <xdr:col>2</xdr:col>
      <xdr:colOff>1570840</xdr:colOff>
      <xdr:row>22</xdr:row>
      <xdr:rowOff>67614</xdr:rowOff>
    </xdr:to>
    <xdr:pic>
      <xdr:nvPicPr>
        <xdr:cNvPr id="13" name="Рисунок 12" descr="Имитация бруса.jpg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6027420"/>
          <a:ext cx="1495425" cy="197154"/>
        </a:xfrm>
        <a:prstGeom prst="rect">
          <a:avLst/>
        </a:prstGeom>
      </xdr:spPr>
    </xdr:pic>
    <xdr:clientData/>
  </xdr:twoCellAnchor>
  <xdr:twoCellAnchor editAs="oneCell">
    <xdr:from>
      <xdr:col>2</xdr:col>
      <xdr:colOff>75415</xdr:colOff>
      <xdr:row>17</xdr:row>
      <xdr:rowOff>182880</xdr:rowOff>
    </xdr:from>
    <xdr:to>
      <xdr:col>2</xdr:col>
      <xdr:colOff>1570840</xdr:colOff>
      <xdr:row>18</xdr:row>
      <xdr:rowOff>67614</xdr:rowOff>
    </xdr:to>
    <xdr:pic>
      <xdr:nvPicPr>
        <xdr:cNvPr id="15" name="Рисунок 14" descr="Имитация бруса.jpg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5044440"/>
          <a:ext cx="1495425" cy="1438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</xdr:row>
      <xdr:rowOff>43814</xdr:rowOff>
    </xdr:from>
    <xdr:to>
      <xdr:col>1</xdr:col>
      <xdr:colOff>2087995</xdr:colOff>
      <xdr:row>2</xdr:row>
      <xdr:rowOff>243840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295274"/>
          <a:ext cx="2065135" cy="451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E56"/>
  <sheetViews>
    <sheetView tabSelected="1" zoomScale="70" zoomScaleNormal="70" workbookViewId="0">
      <selection activeCell="B7" sqref="B7:E7"/>
    </sheetView>
  </sheetViews>
  <sheetFormatPr defaultRowHeight="12.75"/>
  <cols>
    <col min="1" max="1" width="2.7109375" customWidth="1"/>
    <col min="2" max="2" width="49" style="384" customWidth="1"/>
    <col min="3" max="3" width="23.7109375" style="384" customWidth="1"/>
    <col min="4" max="4" width="29.7109375" style="385" customWidth="1"/>
    <col min="5" max="5" width="1.28515625" customWidth="1"/>
  </cols>
  <sheetData>
    <row r="1" spans="2:5" ht="20.25">
      <c r="B1" s="487" t="s">
        <v>0</v>
      </c>
      <c r="C1" s="487"/>
      <c r="D1" s="487"/>
    </row>
    <row r="2" spans="2:5" ht="20.25">
      <c r="B2" s="487" t="s">
        <v>1</v>
      </c>
      <c r="C2" s="487"/>
      <c r="D2" s="487"/>
    </row>
    <row r="3" spans="2:5" ht="20.25">
      <c r="B3" s="487" t="s">
        <v>2</v>
      </c>
      <c r="C3" s="487"/>
      <c r="D3" s="487"/>
    </row>
    <row r="4" spans="2:5" ht="20.25">
      <c r="B4" s="487" t="s">
        <v>3</v>
      </c>
      <c r="C4" s="487"/>
      <c r="D4" s="487"/>
    </row>
    <row r="5" spans="2:5" ht="20.25">
      <c r="B5" s="487" t="s">
        <v>830</v>
      </c>
      <c r="C5" s="487"/>
      <c r="D5" s="487"/>
    </row>
    <row r="6" spans="2:5" ht="20.25">
      <c r="B6" s="487" t="s">
        <v>4</v>
      </c>
      <c r="C6" s="487"/>
      <c r="D6" s="487"/>
    </row>
    <row r="7" spans="2:5" ht="17.45" customHeight="1">
      <c r="B7" s="492" t="s">
        <v>841</v>
      </c>
      <c r="C7" s="492"/>
      <c r="D7" s="492"/>
      <c r="E7" s="492"/>
    </row>
    <row r="8" spans="2:5" ht="11.45" hidden="1" customHeight="1">
      <c r="B8" s="488"/>
      <c r="C8" s="488"/>
      <c r="D8" s="488"/>
    </row>
    <row r="9" spans="2:5" ht="22.9" customHeight="1" thickBot="1">
      <c r="B9" s="386"/>
      <c r="C9" s="386"/>
      <c r="D9" s="386"/>
    </row>
    <row r="10" spans="2:5" ht="70.150000000000006" customHeight="1" thickBot="1">
      <c r="B10" s="493" t="s">
        <v>771</v>
      </c>
      <c r="C10" s="494"/>
      <c r="D10" s="495"/>
    </row>
    <row r="11" spans="2:5" ht="49.15" customHeight="1" thickBot="1">
      <c r="B11" s="452"/>
      <c r="C11" s="452"/>
      <c r="D11" s="452"/>
    </row>
    <row r="12" spans="2:5" ht="177.75" customHeight="1" thickBot="1">
      <c r="B12" s="496" t="s">
        <v>837</v>
      </c>
      <c r="C12" s="494"/>
      <c r="D12" s="495"/>
    </row>
    <row r="13" spans="2:5" ht="13.9" customHeight="1">
      <c r="B13" s="452"/>
      <c r="C13" s="452"/>
      <c r="D13" s="452"/>
    </row>
    <row r="14" spans="2:5" ht="31.15" customHeight="1" thickBot="1">
      <c r="B14" s="388"/>
      <c r="C14" s="388"/>
      <c r="D14" s="388"/>
    </row>
    <row r="15" spans="2:5" ht="38.25" customHeight="1" thickBot="1">
      <c r="B15" s="489" t="s">
        <v>802</v>
      </c>
      <c r="C15" s="490"/>
      <c r="D15" s="491"/>
    </row>
    <row r="16" spans="2:5" ht="10.15" customHeight="1">
      <c r="B16" s="477"/>
      <c r="C16" s="477"/>
      <c r="D16" s="477"/>
    </row>
    <row r="17" spans="2:4" ht="24.75" customHeight="1" thickBot="1">
      <c r="B17" s="381"/>
      <c r="C17" s="381"/>
      <c r="D17" s="381"/>
    </row>
    <row r="18" spans="2:4" s="9" customFormat="1" ht="78.599999999999994" customHeight="1" thickBot="1">
      <c r="B18" s="151" t="s">
        <v>5</v>
      </c>
      <c r="C18" s="152" t="s">
        <v>6</v>
      </c>
      <c r="D18" s="153" t="s">
        <v>7</v>
      </c>
    </row>
    <row r="19" spans="2:4" s="379" customFormat="1" ht="64.900000000000006" customHeight="1" thickBot="1">
      <c r="B19" s="481" t="s">
        <v>8</v>
      </c>
      <c r="C19" s="479"/>
      <c r="D19" s="480"/>
    </row>
    <row r="20" spans="2:4" s="379" customFormat="1" ht="30" customHeight="1">
      <c r="B20" s="43" t="s">
        <v>395</v>
      </c>
      <c r="C20" s="44">
        <v>13000</v>
      </c>
      <c r="D20" s="172">
        <v>59</v>
      </c>
    </row>
    <row r="21" spans="2:4" s="379" customFormat="1" ht="30" customHeight="1" thickBot="1">
      <c r="B21" s="248" t="s">
        <v>9</v>
      </c>
      <c r="C21" s="182">
        <v>10000</v>
      </c>
      <c r="D21" s="345">
        <v>75</v>
      </c>
    </row>
    <row r="22" spans="2:4" s="379" customFormat="1" ht="25.9" customHeight="1" thickBot="1">
      <c r="B22" s="188"/>
      <c r="C22" s="175"/>
      <c r="D22" s="176"/>
    </row>
    <row r="23" spans="2:4" s="380" customFormat="1" ht="33.6" customHeight="1" thickBot="1">
      <c r="B23" s="478" t="s">
        <v>10</v>
      </c>
      <c r="C23" s="479"/>
      <c r="D23" s="480"/>
    </row>
    <row r="24" spans="2:4" s="380" customFormat="1" ht="33.6" customHeight="1" thickBot="1">
      <c r="B24" s="482" t="s">
        <v>11</v>
      </c>
      <c r="C24" s="483"/>
      <c r="D24" s="484"/>
    </row>
    <row r="25" spans="2:4" s="380" customFormat="1" ht="29.45" customHeight="1">
      <c r="B25" s="391" t="s">
        <v>60</v>
      </c>
      <c r="C25" s="392">
        <v>8000</v>
      </c>
      <c r="D25" s="54">
        <v>32</v>
      </c>
    </row>
    <row r="26" spans="2:4" s="380" customFormat="1" ht="29.45" customHeight="1">
      <c r="B26" s="203" t="s">
        <v>755</v>
      </c>
      <c r="C26" s="231">
        <v>10000</v>
      </c>
      <c r="D26" s="45">
        <v>116</v>
      </c>
    </row>
    <row r="27" spans="2:4" s="380" customFormat="1" ht="29.45" customHeight="1" thickBot="1">
      <c r="B27" s="207" t="s">
        <v>14</v>
      </c>
      <c r="C27" s="230">
        <v>11500</v>
      </c>
      <c r="D27" s="170">
        <v>110</v>
      </c>
    </row>
    <row r="28" spans="2:4" s="380" customFormat="1" ht="29.45" customHeight="1" thickBot="1">
      <c r="B28" s="188"/>
      <c r="C28" s="175"/>
      <c r="D28" s="176"/>
    </row>
    <row r="29" spans="2:4" s="380" customFormat="1" ht="27" customHeight="1" thickBot="1">
      <c r="B29" s="482" t="s">
        <v>752</v>
      </c>
      <c r="C29" s="483"/>
      <c r="D29" s="484"/>
    </row>
    <row r="30" spans="2:4" s="206" customFormat="1" ht="30.6" customHeight="1" thickBot="1">
      <c r="B30" s="346" t="s">
        <v>753</v>
      </c>
      <c r="C30" s="347">
        <v>12000</v>
      </c>
      <c r="D30" s="345">
        <v>274</v>
      </c>
    </row>
    <row r="31" spans="2:4" s="380" customFormat="1" ht="26.45" customHeight="1" thickBot="1">
      <c r="B31" s="478" t="s">
        <v>24</v>
      </c>
      <c r="C31" s="479"/>
      <c r="D31" s="480"/>
    </row>
    <row r="32" spans="2:4" s="380" customFormat="1" ht="27.6" customHeight="1">
      <c r="B32" s="391" t="s">
        <v>12</v>
      </c>
      <c r="C32" s="392">
        <v>6500</v>
      </c>
      <c r="D32" s="54">
        <v>125</v>
      </c>
    </row>
    <row r="33" spans="2:4" s="380" customFormat="1" ht="30" customHeight="1">
      <c r="B33" s="43" t="s">
        <v>25</v>
      </c>
      <c r="C33" s="44">
        <v>8500</v>
      </c>
      <c r="D33" s="45">
        <v>64</v>
      </c>
    </row>
    <row r="34" spans="2:4" s="380" customFormat="1" ht="30" customHeight="1">
      <c r="B34" s="47" t="s">
        <v>13</v>
      </c>
      <c r="C34" s="48">
        <v>9000</v>
      </c>
      <c r="D34" s="49">
        <v>102</v>
      </c>
    </row>
    <row r="35" spans="2:4" s="380" customFormat="1" ht="30" customHeight="1">
      <c r="B35" s="47" t="s">
        <v>18</v>
      </c>
      <c r="C35" s="48">
        <v>9500</v>
      </c>
      <c r="D35" s="49">
        <v>143</v>
      </c>
    </row>
    <row r="36" spans="2:4" s="380" customFormat="1" ht="30" customHeight="1">
      <c r="B36" s="47" t="s">
        <v>754</v>
      </c>
      <c r="C36" s="48">
        <v>7000</v>
      </c>
      <c r="D36" s="49">
        <v>300</v>
      </c>
    </row>
    <row r="37" spans="2:4" s="380" customFormat="1" ht="30" customHeight="1">
      <c r="B37" s="47" t="s">
        <v>27</v>
      </c>
      <c r="C37" s="48">
        <v>12000</v>
      </c>
      <c r="D37" s="49">
        <v>275</v>
      </c>
    </row>
    <row r="38" spans="2:4" s="380" customFormat="1" ht="30" customHeight="1">
      <c r="B38" s="47" t="s">
        <v>29</v>
      </c>
      <c r="C38" s="48">
        <v>9500</v>
      </c>
      <c r="D38" s="49">
        <v>855</v>
      </c>
    </row>
    <row r="39" spans="2:4" s="380" customFormat="1" ht="30" customHeight="1" thickBot="1">
      <c r="B39" s="248" t="s">
        <v>57</v>
      </c>
      <c r="C39" s="182">
        <v>9500</v>
      </c>
      <c r="D39" s="170">
        <v>1710</v>
      </c>
    </row>
    <row r="40" spans="2:4" s="380" customFormat="1" ht="26.45" customHeight="1" thickBot="1">
      <c r="B40" s="478" t="s">
        <v>36</v>
      </c>
      <c r="C40" s="479"/>
      <c r="D40" s="480"/>
    </row>
    <row r="41" spans="2:4" s="380" customFormat="1" ht="30" customHeight="1">
      <c r="B41" s="47" t="s">
        <v>817</v>
      </c>
      <c r="C41" s="48">
        <v>20000</v>
      </c>
      <c r="D41" s="49">
        <v>490</v>
      </c>
    </row>
    <row r="42" spans="2:4" s="380" customFormat="1" ht="30" customHeight="1" thickBot="1">
      <c r="B42" s="47" t="s">
        <v>148</v>
      </c>
      <c r="C42" s="48">
        <v>32000</v>
      </c>
      <c r="D42" s="49">
        <v>785</v>
      </c>
    </row>
    <row r="43" spans="2:4" s="380" customFormat="1" ht="30" customHeight="1" thickBot="1">
      <c r="B43" s="478" t="s">
        <v>835</v>
      </c>
      <c r="C43" s="479"/>
      <c r="D43" s="480"/>
    </row>
    <row r="44" spans="2:4" s="380" customFormat="1" ht="30" customHeight="1">
      <c r="B44" s="47" t="s">
        <v>756</v>
      </c>
      <c r="C44" s="48">
        <v>22000</v>
      </c>
      <c r="D44" s="49">
        <v>347</v>
      </c>
    </row>
    <row r="45" spans="2:4" s="380" customFormat="1" ht="30" customHeight="1" thickBot="1">
      <c r="B45" s="47" t="s">
        <v>840</v>
      </c>
      <c r="C45" s="48">
        <v>22000</v>
      </c>
      <c r="D45" s="49">
        <v>405</v>
      </c>
    </row>
    <row r="46" spans="2:4" s="380" customFormat="1" ht="26.45" customHeight="1" thickBot="1">
      <c r="B46" s="478" t="s">
        <v>40</v>
      </c>
      <c r="C46" s="479"/>
      <c r="D46" s="480"/>
    </row>
    <row r="47" spans="2:4" s="380" customFormat="1" ht="30.6" customHeight="1">
      <c r="B47" s="43" t="s">
        <v>770</v>
      </c>
      <c r="C47" s="387">
        <v>14000</v>
      </c>
      <c r="D47" s="45">
        <v>412</v>
      </c>
    </row>
    <row r="48" spans="2:4" s="380" customFormat="1" ht="18.600000000000001" customHeight="1" thickBot="1">
      <c r="B48" s="188"/>
      <c r="C48" s="175"/>
      <c r="D48" s="176"/>
    </row>
    <row r="49" spans="2:4" s="380" customFormat="1" ht="31.15" customHeight="1" thickBot="1">
      <c r="B49" s="478" t="s">
        <v>47</v>
      </c>
      <c r="C49" s="479"/>
      <c r="D49" s="480"/>
    </row>
    <row r="50" spans="2:4" s="380" customFormat="1" ht="33.6" customHeight="1" thickBot="1">
      <c r="B50" s="485" t="s">
        <v>48</v>
      </c>
      <c r="C50" s="486"/>
      <c r="D50" s="170">
        <v>1400</v>
      </c>
    </row>
    <row r="51" spans="2:4" s="380" customFormat="1" ht="19.149999999999999" customHeight="1" thickBot="1">
      <c r="B51" s="474" t="s">
        <v>49</v>
      </c>
      <c r="C51" s="475"/>
      <c r="D51" s="476"/>
    </row>
    <row r="52" spans="2:4" ht="15" customHeight="1"/>
    <row r="53" spans="2:4" s="195" customFormat="1" ht="79.150000000000006" customHeight="1">
      <c r="B53" s="384"/>
      <c r="C53" s="384"/>
      <c r="D53" s="385"/>
    </row>
    <row r="54" spans="2:4" ht="31.9" customHeight="1"/>
    <row r="55" spans="2:4" ht="31.9" customHeight="1"/>
    <row r="56" spans="2:4" ht="31.9" customHeight="1"/>
  </sheetData>
  <mergeCells count="23">
    <mergeCell ref="B1:D1"/>
    <mergeCell ref="B49:D49"/>
    <mergeCell ref="B2:D2"/>
    <mergeCell ref="B3:D3"/>
    <mergeCell ref="B4:D4"/>
    <mergeCell ref="B5:D5"/>
    <mergeCell ref="B6:D6"/>
    <mergeCell ref="B8:D8"/>
    <mergeCell ref="B15:D15"/>
    <mergeCell ref="B29:D29"/>
    <mergeCell ref="B7:E7"/>
    <mergeCell ref="B10:D10"/>
    <mergeCell ref="B12:D12"/>
    <mergeCell ref="B51:D51"/>
    <mergeCell ref="B16:D16"/>
    <mergeCell ref="B46:D46"/>
    <mergeCell ref="B23:D23"/>
    <mergeCell ref="B31:D31"/>
    <mergeCell ref="B40:D40"/>
    <mergeCell ref="B19:D19"/>
    <mergeCell ref="B24:D24"/>
    <mergeCell ref="B50:C50"/>
    <mergeCell ref="B43:D43"/>
  </mergeCells>
  <pageMargins left="0.86614173228346458" right="0.35433070866141736" top="0.15748031496062992" bottom="0.15748031496062992" header="0.19685039370078741" footer="0.15748031496062992"/>
  <pageSetup paperSize="9" scale="89" fitToHeight="4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9"/>
  <sheetViews>
    <sheetView zoomScale="55" zoomScaleNormal="55" workbookViewId="0">
      <selection activeCell="I15" sqref="I15"/>
    </sheetView>
  </sheetViews>
  <sheetFormatPr defaultColWidth="9.140625" defaultRowHeight="20.25"/>
  <cols>
    <col min="1" max="1" width="47.28515625" style="110" customWidth="1"/>
    <col min="2" max="2" width="26.42578125" style="14" customWidth="1"/>
    <col min="3" max="3" width="12.5703125" style="14" customWidth="1"/>
    <col min="4" max="4" width="16" style="25" customWidth="1"/>
    <col min="5" max="5" width="23.42578125" style="25" customWidth="1"/>
    <col min="6" max="6" width="18.42578125" style="25" customWidth="1"/>
    <col min="7" max="7" width="28" style="25" customWidth="1"/>
    <col min="8" max="16384" width="9.140625" style="25"/>
  </cols>
  <sheetData>
    <row r="1" spans="1:7" ht="18.600000000000001" customHeight="1">
      <c r="A1" s="497" t="s">
        <v>0</v>
      </c>
      <c r="B1" s="497"/>
      <c r="C1" s="497"/>
      <c r="D1" s="497"/>
    </row>
    <row r="2" spans="1:7" ht="18.600000000000001" customHeight="1">
      <c r="A2" s="497" t="s">
        <v>1</v>
      </c>
      <c r="B2" s="497"/>
      <c r="C2" s="497"/>
      <c r="D2" s="497"/>
    </row>
    <row r="3" spans="1:7" ht="18.600000000000001" customHeight="1">
      <c r="A3" s="497" t="s">
        <v>2</v>
      </c>
      <c r="B3" s="497"/>
      <c r="C3" s="497"/>
      <c r="D3" s="497"/>
    </row>
    <row r="4" spans="1:7" ht="18.600000000000001" customHeight="1">
      <c r="A4" s="497" t="s">
        <v>3</v>
      </c>
      <c r="B4" s="497"/>
      <c r="C4" s="497"/>
      <c r="D4" s="497"/>
      <c r="G4" s="14"/>
    </row>
    <row r="5" spans="1:7" ht="18.600000000000001" customHeight="1">
      <c r="A5" s="497" t="s">
        <v>830</v>
      </c>
      <c r="B5" s="497"/>
      <c r="C5" s="497"/>
      <c r="D5" s="497"/>
      <c r="G5" s="14"/>
    </row>
    <row r="6" spans="1:7" ht="18.600000000000001" customHeight="1">
      <c r="A6" s="497" t="s">
        <v>50</v>
      </c>
      <c r="B6" s="497"/>
      <c r="C6" s="497"/>
      <c r="D6" s="497"/>
      <c r="E6" s="53"/>
    </row>
    <row r="7" spans="1:7" ht="16.5" customHeight="1">
      <c r="E7" s="53"/>
    </row>
    <row r="8" spans="1:7" ht="23.45" customHeight="1">
      <c r="B8" s="561" t="s">
        <v>731</v>
      </c>
      <c r="C8" s="561"/>
      <c r="D8" s="561"/>
      <c r="E8" s="267"/>
      <c r="F8" s="267"/>
    </row>
    <row r="9" spans="1:7" ht="23.45" customHeight="1">
      <c r="B9" s="561"/>
      <c r="C9" s="561"/>
      <c r="D9" s="561"/>
      <c r="E9" s="267"/>
      <c r="F9" s="267"/>
    </row>
    <row r="10" spans="1:7" ht="23.45" customHeight="1">
      <c r="B10" s="561"/>
      <c r="C10" s="561"/>
      <c r="D10" s="561"/>
      <c r="E10" s="53"/>
    </row>
    <row r="11" spans="1:7" ht="27" customHeight="1">
      <c r="A11" s="505" t="s">
        <v>215</v>
      </c>
      <c r="B11" s="505"/>
      <c r="C11" s="505"/>
      <c r="D11" s="505"/>
      <c r="E11" s="53"/>
    </row>
    <row r="12" spans="1:7" ht="18" customHeight="1">
      <c r="A12" s="545" t="s">
        <v>831</v>
      </c>
      <c r="B12" s="545"/>
      <c r="C12" s="545"/>
      <c r="D12" s="545"/>
      <c r="E12" s="455"/>
      <c r="F12" s="455"/>
      <c r="G12" s="455"/>
    </row>
    <row r="13" spans="1:7" ht="18" customHeight="1" thickBot="1">
      <c r="A13" s="541" t="s">
        <v>816</v>
      </c>
      <c r="B13" s="541"/>
      <c r="C13" s="541"/>
      <c r="D13" s="541"/>
      <c r="E13" s="53"/>
    </row>
    <row r="14" spans="1:7" ht="39.75" customHeight="1" thickBot="1">
      <c r="A14" s="138" t="s">
        <v>5</v>
      </c>
      <c r="B14" s="138" t="s">
        <v>216</v>
      </c>
      <c r="C14" s="138" t="s">
        <v>217</v>
      </c>
      <c r="D14" s="142" t="s">
        <v>218</v>
      </c>
    </row>
    <row r="15" spans="1:7" ht="59.25" customHeight="1">
      <c r="A15" s="551" t="s">
        <v>219</v>
      </c>
      <c r="B15" s="161"/>
      <c r="C15" s="163" t="s">
        <v>220</v>
      </c>
      <c r="D15" s="160">
        <v>600</v>
      </c>
      <c r="F15" s="550"/>
    </row>
    <row r="16" spans="1:7" ht="59.25" customHeight="1" thickBot="1">
      <c r="A16" s="558"/>
      <c r="B16" s="157"/>
      <c r="C16" s="164" t="s">
        <v>221</v>
      </c>
      <c r="D16" s="167">
        <v>1050</v>
      </c>
      <c r="F16" s="550"/>
    </row>
    <row r="17" spans="1:7" ht="59.25" customHeight="1">
      <c r="A17" s="559" t="s">
        <v>222</v>
      </c>
      <c r="B17" s="157"/>
      <c r="C17" s="163" t="s">
        <v>220</v>
      </c>
      <c r="D17" s="160">
        <v>850</v>
      </c>
    </row>
    <row r="18" spans="1:7" ht="59.25" customHeight="1" thickBot="1">
      <c r="A18" s="560"/>
      <c r="B18" s="162"/>
      <c r="C18" s="164" t="s">
        <v>221</v>
      </c>
      <c r="D18" s="165">
        <v>1550</v>
      </c>
    </row>
    <row r="19" spans="1:7" ht="59.25" customHeight="1">
      <c r="A19" s="551" t="s">
        <v>223</v>
      </c>
      <c r="B19" s="157"/>
      <c r="C19" s="163" t="s">
        <v>220</v>
      </c>
      <c r="D19" s="160">
        <v>640</v>
      </c>
      <c r="F19" s="553"/>
      <c r="G19"/>
    </row>
    <row r="20" spans="1:7" ht="59.25" customHeight="1" thickBot="1">
      <c r="A20" s="552"/>
      <c r="B20" s="157"/>
      <c r="C20" s="168" t="s">
        <v>221</v>
      </c>
      <c r="D20" s="166">
        <v>1200</v>
      </c>
      <c r="F20" s="553"/>
      <c r="G20"/>
    </row>
    <row r="21" spans="1:7" s="108" customFormat="1" ht="59.45" customHeight="1">
      <c r="A21" s="551" t="s">
        <v>224</v>
      </c>
      <c r="B21" s="157"/>
      <c r="C21" s="163" t="s">
        <v>220</v>
      </c>
      <c r="D21" s="160">
        <v>750</v>
      </c>
    </row>
    <row r="22" spans="1:7" s="108" customFormat="1" ht="59.45" customHeight="1" thickBot="1">
      <c r="A22" s="552"/>
      <c r="B22" s="157"/>
      <c r="C22" s="184" t="s">
        <v>221</v>
      </c>
      <c r="D22" s="166">
        <v>1390</v>
      </c>
    </row>
    <row r="23" spans="1:7" s="108" customFormat="1" ht="59.45" customHeight="1">
      <c r="A23" s="551" t="s">
        <v>225</v>
      </c>
      <c r="B23" s="157"/>
      <c r="C23" s="163" t="s">
        <v>226</v>
      </c>
      <c r="D23" s="160">
        <v>900</v>
      </c>
    </row>
    <row r="24" spans="1:7" s="108" customFormat="1" ht="59.45" customHeight="1" thickBot="1">
      <c r="A24" s="557"/>
      <c r="B24" s="157"/>
      <c r="C24" s="216" t="s">
        <v>227</v>
      </c>
      <c r="D24" s="217">
        <v>1700</v>
      </c>
    </row>
    <row r="25" spans="1:7" ht="13.9" customHeight="1" thickBot="1">
      <c r="A25" s="554" t="s">
        <v>732</v>
      </c>
      <c r="B25" s="555"/>
      <c r="C25" s="555"/>
      <c r="D25" s="556"/>
    </row>
    <row r="29" spans="1:7">
      <c r="G29"/>
    </row>
  </sheetData>
  <mergeCells count="18">
    <mergeCell ref="A6:D6"/>
    <mergeCell ref="A11:D11"/>
    <mergeCell ref="A13:D13"/>
    <mergeCell ref="A15:A16"/>
    <mergeCell ref="A17:A18"/>
    <mergeCell ref="B8:D10"/>
    <mergeCell ref="A12:D12"/>
    <mergeCell ref="A1:D1"/>
    <mergeCell ref="A2:D2"/>
    <mergeCell ref="A3:D3"/>
    <mergeCell ref="A4:D4"/>
    <mergeCell ref="A5:D5"/>
    <mergeCell ref="F15:F16"/>
    <mergeCell ref="A19:A20"/>
    <mergeCell ref="F19:F20"/>
    <mergeCell ref="A25:D25"/>
    <mergeCell ref="A21:A22"/>
    <mergeCell ref="A23:A24"/>
  </mergeCells>
  <pageMargins left="0" right="0.19685039370078741" top="3.937007874015748E-2" bottom="3.937007874015748E-2" header="0" footer="0"/>
  <pageSetup paperSize="9" scale="92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85"/>
  <sheetViews>
    <sheetView topLeftCell="A52" workbookViewId="0">
      <selection activeCell="G57" sqref="G57"/>
    </sheetView>
  </sheetViews>
  <sheetFormatPr defaultColWidth="9.140625" defaultRowHeight="20.25"/>
  <cols>
    <col min="1" max="1" width="43.140625" style="110" customWidth="1"/>
    <col min="2" max="2" width="36.7109375" style="14" customWidth="1"/>
    <col min="3" max="3" width="12.85546875" style="25" customWidth="1"/>
    <col min="4" max="4" width="9.5703125" style="25" customWidth="1"/>
    <col min="5" max="5" width="23.42578125" style="25" customWidth="1"/>
    <col min="6" max="6" width="18.42578125" style="25" customWidth="1"/>
    <col min="7" max="7" width="28" style="25" customWidth="1"/>
    <col min="8" max="16384" width="9.140625" style="25"/>
  </cols>
  <sheetData>
    <row r="1" spans="1:8" ht="15.75" customHeight="1">
      <c r="A1" s="507" t="s">
        <v>0</v>
      </c>
      <c r="B1" s="507"/>
      <c r="C1" s="507"/>
      <c r="D1" s="507"/>
    </row>
    <row r="2" spans="1:8" ht="15.75" customHeight="1">
      <c r="A2" s="507" t="s">
        <v>1</v>
      </c>
      <c r="B2" s="507"/>
      <c r="C2" s="507"/>
      <c r="D2" s="507"/>
    </row>
    <row r="3" spans="1:8" ht="15.75" customHeight="1">
      <c r="A3" s="507" t="s">
        <v>127</v>
      </c>
      <c r="B3" s="507"/>
      <c r="C3" s="507"/>
      <c r="D3" s="507"/>
    </row>
    <row r="4" spans="1:8" ht="15.75" customHeight="1">
      <c r="A4" s="507" t="s">
        <v>252</v>
      </c>
      <c r="B4" s="507"/>
      <c r="C4" s="507"/>
      <c r="D4" s="507"/>
      <c r="G4" s="14"/>
    </row>
    <row r="5" spans="1:8" ht="15.75" customHeight="1">
      <c r="A5" s="507" t="s">
        <v>830</v>
      </c>
      <c r="B5" s="507"/>
      <c r="C5" s="507"/>
      <c r="D5" s="507"/>
      <c r="G5" s="14"/>
    </row>
    <row r="6" spans="1:8" ht="15.75" customHeight="1">
      <c r="A6" s="507" t="s">
        <v>50</v>
      </c>
      <c r="B6" s="507"/>
      <c r="C6" s="507"/>
      <c r="D6" s="507"/>
      <c r="E6" s="53"/>
    </row>
    <row r="7" spans="1:8" ht="13.9" customHeight="1">
      <c r="A7" s="563"/>
      <c r="B7" s="563"/>
      <c r="C7" s="563"/>
      <c r="D7" s="563"/>
      <c r="E7" s="53"/>
    </row>
    <row r="8" spans="1:8" ht="3" hidden="1" customHeight="1">
      <c r="A8" s="563"/>
      <c r="B8" s="563"/>
      <c r="C8" s="563"/>
      <c r="D8" s="563"/>
      <c r="E8" s="53"/>
    </row>
    <row r="9" spans="1:8" ht="3.6" hidden="1" customHeight="1">
      <c r="A9" s="563"/>
      <c r="B9" s="563"/>
      <c r="C9" s="563"/>
      <c r="D9" s="563"/>
      <c r="E9" s="53"/>
    </row>
    <row r="10" spans="1:8" ht="24" customHeight="1">
      <c r="A10" s="505" t="s">
        <v>253</v>
      </c>
      <c r="B10" s="505"/>
      <c r="C10" s="505"/>
      <c r="D10" s="505"/>
      <c r="E10" s="53"/>
    </row>
    <row r="11" spans="1:8" ht="14.45" customHeight="1">
      <c r="A11" s="524" t="s">
        <v>831</v>
      </c>
      <c r="B11" s="524"/>
      <c r="C11" s="524"/>
      <c r="D11" s="524"/>
      <c r="E11" s="53"/>
    </row>
    <row r="12" spans="1:8" ht="18.600000000000001" customHeight="1" thickBot="1">
      <c r="A12" s="541" t="s">
        <v>816</v>
      </c>
      <c r="B12" s="541"/>
      <c r="C12" s="541"/>
      <c r="D12" s="541"/>
      <c r="E12" s="53"/>
    </row>
    <row r="13" spans="1:8" ht="33" customHeight="1" thickBot="1">
      <c r="A13" s="138" t="s">
        <v>5</v>
      </c>
      <c r="B13" s="138" t="s">
        <v>216</v>
      </c>
      <c r="C13" s="338" t="s">
        <v>254</v>
      </c>
      <c r="D13" s="142" t="s">
        <v>230</v>
      </c>
      <c r="F13" s="268"/>
      <c r="G13" s="268"/>
      <c r="H13" s="268"/>
    </row>
    <row r="14" spans="1:8" ht="18" customHeight="1" thickBot="1">
      <c r="A14" s="530" t="s">
        <v>255</v>
      </c>
      <c r="B14" s="531"/>
      <c r="C14" s="531"/>
      <c r="D14" s="532"/>
      <c r="F14" s="268"/>
      <c r="G14" s="268"/>
      <c r="H14" s="268"/>
    </row>
    <row r="15" spans="1:8" ht="26.25" customHeight="1" thickBot="1">
      <c r="A15" s="111" t="s">
        <v>834</v>
      </c>
      <c r="B15" s="101"/>
      <c r="C15" s="464" t="s">
        <v>257</v>
      </c>
      <c r="D15" s="27">
        <v>75</v>
      </c>
      <c r="F15" s="268"/>
      <c r="G15" s="268"/>
      <c r="H15" s="268"/>
    </row>
    <row r="16" spans="1:8" ht="26.25" customHeight="1">
      <c r="A16" s="112" t="s">
        <v>256</v>
      </c>
      <c r="B16" s="101"/>
      <c r="C16" s="465" t="s">
        <v>257</v>
      </c>
      <c r="D16" s="12">
        <v>95</v>
      </c>
      <c r="F16" s="268"/>
      <c r="G16" s="268"/>
      <c r="H16" s="268"/>
    </row>
    <row r="17" spans="1:4" ht="26.25" customHeight="1">
      <c r="A17" s="112" t="s">
        <v>258</v>
      </c>
      <c r="B17" s="25"/>
      <c r="C17" s="55" t="s">
        <v>257</v>
      </c>
      <c r="D17" s="11">
        <v>145</v>
      </c>
    </row>
    <row r="18" spans="1:4" ht="26.25" customHeight="1">
      <c r="A18" s="112" t="s">
        <v>259</v>
      </c>
      <c r="B18" s="25"/>
      <c r="C18" s="55" t="s">
        <v>257</v>
      </c>
      <c r="D18" s="11">
        <v>180</v>
      </c>
    </row>
    <row r="19" spans="1:4" ht="26.25" customHeight="1">
      <c r="A19" s="112" t="s">
        <v>260</v>
      </c>
      <c r="B19" s="25"/>
      <c r="C19" s="55" t="s">
        <v>257</v>
      </c>
      <c r="D19" s="11">
        <v>195</v>
      </c>
    </row>
    <row r="20" spans="1:4" ht="26.25" customHeight="1">
      <c r="A20" s="112" t="s">
        <v>261</v>
      </c>
      <c r="B20" s="25"/>
      <c r="C20" s="55" t="s">
        <v>257</v>
      </c>
      <c r="D20" s="11">
        <v>400</v>
      </c>
    </row>
    <row r="21" spans="1:4" ht="26.25" customHeight="1">
      <c r="A21" s="112" t="s">
        <v>262</v>
      </c>
      <c r="B21" s="25"/>
      <c r="C21" s="55" t="s">
        <v>257</v>
      </c>
      <c r="D21" s="11">
        <v>550</v>
      </c>
    </row>
    <row r="22" spans="1:4" ht="6.75" customHeight="1">
      <c r="A22" s="112"/>
      <c r="B22" s="25"/>
      <c r="C22" s="55"/>
      <c r="D22" s="11"/>
    </row>
    <row r="23" spans="1:4" s="108" customFormat="1" ht="27" customHeight="1">
      <c r="A23" s="112" t="s">
        <v>263</v>
      </c>
      <c r="B23" s="25"/>
      <c r="C23" s="55" t="s">
        <v>257</v>
      </c>
      <c r="D23" s="130">
        <v>95</v>
      </c>
    </row>
    <row r="24" spans="1:4" s="108" customFormat="1" ht="27" customHeight="1">
      <c r="A24" s="112" t="s">
        <v>758</v>
      </c>
      <c r="C24" s="55" t="s">
        <v>257</v>
      </c>
      <c r="D24" s="11">
        <v>145</v>
      </c>
    </row>
    <row r="25" spans="1:4" s="108" customFormat="1" ht="27" customHeight="1">
      <c r="A25" s="112" t="s">
        <v>264</v>
      </c>
      <c r="B25" s="25"/>
      <c r="C25" s="55" t="s">
        <v>257</v>
      </c>
      <c r="D25" s="11">
        <v>400</v>
      </c>
    </row>
    <row r="26" spans="1:4" s="108" customFormat="1" ht="27" customHeight="1">
      <c r="A26" s="112" t="s">
        <v>265</v>
      </c>
      <c r="B26" s="25"/>
      <c r="C26" s="55" t="s">
        <v>257</v>
      </c>
      <c r="D26" s="12">
        <v>180</v>
      </c>
    </row>
    <row r="27" spans="1:4" s="108" customFormat="1" ht="27" customHeight="1" thickBot="1">
      <c r="A27" s="112" t="s">
        <v>266</v>
      </c>
      <c r="B27" s="25"/>
      <c r="C27" s="55" t="s">
        <v>257</v>
      </c>
      <c r="D27" s="131">
        <v>180</v>
      </c>
    </row>
    <row r="28" spans="1:4" s="108" customFormat="1" ht="27" customHeight="1" thickBot="1">
      <c r="A28" s="113" t="s">
        <v>267</v>
      </c>
      <c r="B28" s="25"/>
      <c r="C28" s="55" t="s">
        <v>257</v>
      </c>
      <c r="D28" s="131">
        <v>195</v>
      </c>
    </row>
    <row r="29" spans="1:4" s="108" customFormat="1" ht="18.75" customHeight="1" thickBot="1">
      <c r="A29" s="530" t="s">
        <v>268</v>
      </c>
      <c r="B29" s="531"/>
      <c r="C29" s="531"/>
      <c r="D29" s="532"/>
    </row>
    <row r="30" spans="1:4" s="108" customFormat="1" ht="31.9" customHeight="1">
      <c r="A30" s="111" t="s">
        <v>269</v>
      </c>
      <c r="B30" s="101"/>
      <c r="C30" s="102" t="s">
        <v>257</v>
      </c>
      <c r="D30" s="132">
        <v>90</v>
      </c>
    </row>
    <row r="31" spans="1:4" s="108" customFormat="1" ht="31.9" customHeight="1">
      <c r="A31" s="114" t="s">
        <v>270</v>
      </c>
      <c r="B31" s="25"/>
      <c r="C31" s="55" t="s">
        <v>257</v>
      </c>
      <c r="D31" s="11">
        <v>110</v>
      </c>
    </row>
    <row r="32" spans="1:4" s="108" customFormat="1" ht="31.9" customHeight="1">
      <c r="A32" s="114" t="s">
        <v>271</v>
      </c>
      <c r="B32" s="25"/>
      <c r="C32" s="55" t="s">
        <v>257</v>
      </c>
      <c r="D32" s="130">
        <v>130</v>
      </c>
    </row>
    <row r="33" spans="1:4" ht="31.9" customHeight="1">
      <c r="A33" s="114" t="s">
        <v>272</v>
      </c>
      <c r="B33" s="25"/>
      <c r="C33" s="55" t="s">
        <v>257</v>
      </c>
      <c r="D33" s="11">
        <v>90</v>
      </c>
    </row>
    <row r="34" spans="1:4" ht="31.9" customHeight="1">
      <c r="A34" s="114" t="s">
        <v>273</v>
      </c>
      <c r="B34" s="25"/>
      <c r="C34" s="55" t="s">
        <v>257</v>
      </c>
      <c r="D34" s="11">
        <v>110</v>
      </c>
    </row>
    <row r="35" spans="1:4" ht="31.9" customHeight="1">
      <c r="A35" s="114" t="s">
        <v>274</v>
      </c>
      <c r="B35" s="25"/>
      <c r="C35" s="55" t="s">
        <v>257</v>
      </c>
      <c r="D35" s="133">
        <v>80</v>
      </c>
    </row>
    <row r="36" spans="1:4" ht="31.9" customHeight="1" thickBot="1">
      <c r="A36" s="115" t="s">
        <v>727</v>
      </c>
      <c r="B36" s="126"/>
      <c r="C36" s="107" t="s">
        <v>257</v>
      </c>
      <c r="D36" s="13">
        <v>95</v>
      </c>
    </row>
    <row r="37" spans="1:4" ht="6.6" customHeight="1">
      <c r="A37" s="129"/>
      <c r="B37" s="25"/>
      <c r="C37" s="14"/>
      <c r="D37" s="18"/>
    </row>
    <row r="38" spans="1:4" ht="6.6" customHeight="1">
      <c r="A38" s="129"/>
      <c r="B38" s="25"/>
      <c r="C38" s="14"/>
      <c r="D38" s="18"/>
    </row>
    <row r="39" spans="1:4" ht="6.6" customHeight="1">
      <c r="A39" s="129"/>
      <c r="B39" s="25"/>
      <c r="C39" s="14"/>
      <c r="D39" s="18"/>
    </row>
    <row r="40" spans="1:4" ht="6.6" customHeight="1" thickBot="1">
      <c r="A40" s="129"/>
      <c r="B40" s="25"/>
      <c r="C40" s="14"/>
      <c r="D40" s="18"/>
    </row>
    <row r="41" spans="1:4" ht="19.5" customHeight="1" thickBot="1">
      <c r="A41" s="530" t="s">
        <v>275</v>
      </c>
      <c r="B41" s="531"/>
      <c r="C41" s="531"/>
      <c r="D41" s="532"/>
    </row>
    <row r="42" spans="1:4" ht="18" customHeight="1">
      <c r="A42" s="116" t="s">
        <v>276</v>
      </c>
      <c r="B42" s="104"/>
      <c r="C42" s="56" t="s">
        <v>257</v>
      </c>
      <c r="D42" s="12">
        <v>135</v>
      </c>
    </row>
    <row r="43" spans="1:4" ht="18" customHeight="1">
      <c r="A43" s="117" t="s">
        <v>277</v>
      </c>
      <c r="B43" s="105"/>
      <c r="C43" s="56" t="s">
        <v>257</v>
      </c>
      <c r="D43" s="11">
        <v>170</v>
      </c>
    </row>
    <row r="44" spans="1:4" ht="18" customHeight="1">
      <c r="A44" s="466" t="s">
        <v>278</v>
      </c>
      <c r="B44" s="106"/>
      <c r="C44" s="220" t="s">
        <v>257</v>
      </c>
      <c r="D44" s="213">
        <v>130</v>
      </c>
    </row>
    <row r="45" spans="1:4" ht="18" customHeight="1">
      <c r="A45" s="117" t="s">
        <v>279</v>
      </c>
      <c r="B45" s="105"/>
      <c r="C45" s="56" t="s">
        <v>257</v>
      </c>
      <c r="D45" s="11">
        <v>190</v>
      </c>
    </row>
    <row r="46" spans="1:4" ht="18" customHeight="1">
      <c r="A46" s="117" t="s">
        <v>280</v>
      </c>
      <c r="B46" s="106"/>
      <c r="C46" s="56" t="s">
        <v>257</v>
      </c>
      <c r="D46" s="11">
        <v>220</v>
      </c>
    </row>
    <row r="47" spans="1:4" ht="18" customHeight="1">
      <c r="A47" s="117" t="s">
        <v>281</v>
      </c>
      <c r="B47" s="105"/>
      <c r="C47" s="56" t="s">
        <v>257</v>
      </c>
      <c r="D47" s="11">
        <v>240</v>
      </c>
    </row>
    <row r="48" spans="1:4" ht="18" customHeight="1">
      <c r="A48" s="117" t="s">
        <v>282</v>
      </c>
      <c r="B48" s="105"/>
      <c r="C48" s="56" t="s">
        <v>257</v>
      </c>
      <c r="D48" s="11">
        <v>265</v>
      </c>
    </row>
    <row r="49" spans="1:4" ht="18" customHeight="1">
      <c r="A49" s="117" t="s">
        <v>283</v>
      </c>
      <c r="B49" s="105"/>
      <c r="C49" s="56" t="s">
        <v>257</v>
      </c>
      <c r="D49" s="11">
        <v>360</v>
      </c>
    </row>
    <row r="50" spans="1:4" ht="18" customHeight="1" thickBot="1">
      <c r="A50" s="118" t="s">
        <v>284</v>
      </c>
      <c r="B50" s="105"/>
      <c r="C50" s="14" t="s">
        <v>257</v>
      </c>
      <c r="D50" s="130">
        <v>400</v>
      </c>
    </row>
    <row r="51" spans="1:4" ht="18" customHeight="1">
      <c r="A51" s="122" t="s">
        <v>285</v>
      </c>
      <c r="B51" s="104"/>
      <c r="C51" s="123" t="s">
        <v>257</v>
      </c>
      <c r="D51" s="27">
        <v>135</v>
      </c>
    </row>
    <row r="52" spans="1:4" ht="18" customHeight="1">
      <c r="A52" s="117" t="s">
        <v>286</v>
      </c>
      <c r="B52" s="105"/>
      <c r="C52" s="56" t="s">
        <v>257</v>
      </c>
      <c r="D52" s="11">
        <v>170</v>
      </c>
    </row>
    <row r="53" spans="1:4" ht="18" customHeight="1">
      <c r="A53" s="117" t="s">
        <v>287</v>
      </c>
      <c r="B53" s="105"/>
      <c r="C53" s="56" t="s">
        <v>257</v>
      </c>
      <c r="D53" s="11">
        <v>190</v>
      </c>
    </row>
    <row r="54" spans="1:4" ht="18" customHeight="1">
      <c r="A54" s="117" t="s">
        <v>288</v>
      </c>
      <c r="B54" s="105"/>
      <c r="C54" s="56" t="s">
        <v>257</v>
      </c>
      <c r="D54" s="11">
        <v>220</v>
      </c>
    </row>
    <row r="55" spans="1:4" ht="18" customHeight="1">
      <c r="A55" s="117" t="s">
        <v>289</v>
      </c>
      <c r="B55" s="105"/>
      <c r="C55" s="56" t="s">
        <v>257</v>
      </c>
      <c r="D55" s="11">
        <v>240</v>
      </c>
    </row>
    <row r="56" spans="1:4" ht="18" customHeight="1">
      <c r="A56" s="117" t="s">
        <v>290</v>
      </c>
      <c r="B56" s="105"/>
      <c r="C56" s="56" t="s">
        <v>257</v>
      </c>
      <c r="D56" s="11">
        <v>265</v>
      </c>
    </row>
    <row r="57" spans="1:4" ht="18" customHeight="1" thickBot="1">
      <c r="A57" s="124" t="s">
        <v>291</v>
      </c>
      <c r="B57" s="109"/>
      <c r="C57" s="125" t="s">
        <v>257</v>
      </c>
      <c r="D57" s="13">
        <v>360</v>
      </c>
    </row>
    <row r="58" spans="1:4" ht="18" customHeight="1">
      <c r="A58" s="116" t="s">
        <v>292</v>
      </c>
      <c r="B58" s="105"/>
      <c r="C58" s="56" t="s">
        <v>257</v>
      </c>
      <c r="D58" s="12">
        <v>135</v>
      </c>
    </row>
    <row r="59" spans="1:4" ht="18" customHeight="1">
      <c r="A59" s="117" t="s">
        <v>293</v>
      </c>
      <c r="B59" s="105"/>
      <c r="C59" s="56" t="s">
        <v>257</v>
      </c>
      <c r="D59" s="11">
        <v>170</v>
      </c>
    </row>
    <row r="60" spans="1:4" ht="18" customHeight="1">
      <c r="A60" s="117" t="s">
        <v>294</v>
      </c>
      <c r="B60" s="105"/>
      <c r="C60" s="56" t="s">
        <v>257</v>
      </c>
      <c r="D60" s="11">
        <v>190</v>
      </c>
    </row>
    <row r="61" spans="1:4" ht="18" customHeight="1">
      <c r="A61" s="117" t="s">
        <v>295</v>
      </c>
      <c r="B61" s="105"/>
      <c r="C61" s="56" t="s">
        <v>257</v>
      </c>
      <c r="D61" s="11">
        <v>220</v>
      </c>
    </row>
    <row r="62" spans="1:4" ht="18" customHeight="1">
      <c r="A62" s="117" t="s">
        <v>296</v>
      </c>
      <c r="B62" s="105"/>
      <c r="C62" s="56" t="s">
        <v>257</v>
      </c>
      <c r="D62" s="11">
        <v>240</v>
      </c>
    </row>
    <row r="63" spans="1:4" ht="18" customHeight="1">
      <c r="A63" s="117" t="s">
        <v>297</v>
      </c>
      <c r="B63" s="105"/>
      <c r="C63" s="56" t="s">
        <v>257</v>
      </c>
      <c r="D63" s="11">
        <v>265</v>
      </c>
    </row>
    <row r="64" spans="1:4" ht="18" customHeight="1" thickBot="1">
      <c r="A64" s="117" t="s">
        <v>298</v>
      </c>
      <c r="B64" s="105"/>
      <c r="C64" s="56" t="s">
        <v>257</v>
      </c>
      <c r="D64" s="11">
        <v>360</v>
      </c>
    </row>
    <row r="65" spans="1:4" ht="17.25" customHeight="1" thickBot="1">
      <c r="A65" s="530" t="s">
        <v>299</v>
      </c>
      <c r="B65" s="531"/>
      <c r="C65" s="531"/>
      <c r="D65" s="532"/>
    </row>
    <row r="66" spans="1:4" ht="16.899999999999999" customHeight="1">
      <c r="A66" s="193" t="s">
        <v>300</v>
      </c>
      <c r="B66" s="104"/>
      <c r="C66" s="123" t="s">
        <v>257</v>
      </c>
      <c r="D66" s="27">
        <v>130</v>
      </c>
    </row>
    <row r="67" spans="1:4" ht="16.899999999999999" customHeight="1">
      <c r="A67" s="264" t="s">
        <v>728</v>
      </c>
      <c r="B67" s="106"/>
      <c r="C67" s="220" t="s">
        <v>257</v>
      </c>
      <c r="D67" s="265">
        <v>75</v>
      </c>
    </row>
    <row r="68" spans="1:4" ht="16.899999999999999" customHeight="1">
      <c r="A68" s="171" t="s">
        <v>301</v>
      </c>
      <c r="B68" s="105"/>
      <c r="C68" s="56" t="s">
        <v>257</v>
      </c>
      <c r="D68" s="11">
        <v>150</v>
      </c>
    </row>
    <row r="69" spans="1:4" ht="16.899999999999999" customHeight="1">
      <c r="A69" s="171" t="s">
        <v>302</v>
      </c>
      <c r="B69" s="105"/>
      <c r="C69" s="56" t="s">
        <v>257</v>
      </c>
      <c r="D69" s="11">
        <v>200</v>
      </c>
    </row>
    <row r="70" spans="1:4" s="108" customFormat="1" ht="16.899999999999999" customHeight="1">
      <c r="A70" s="264" t="s">
        <v>303</v>
      </c>
      <c r="B70" s="106"/>
      <c r="C70" s="220" t="s">
        <v>257</v>
      </c>
      <c r="D70" s="213">
        <v>180</v>
      </c>
    </row>
    <row r="71" spans="1:4" ht="16.899999999999999" customHeight="1">
      <c r="A71" s="171" t="s">
        <v>304</v>
      </c>
      <c r="B71" s="105"/>
      <c r="C71" s="56" t="s">
        <v>257</v>
      </c>
      <c r="D71" s="11">
        <v>200</v>
      </c>
    </row>
    <row r="72" spans="1:4" ht="16.899999999999999" customHeight="1" thickBot="1">
      <c r="A72" s="194" t="s">
        <v>305</v>
      </c>
      <c r="B72" s="109"/>
      <c r="C72" s="125" t="s">
        <v>257</v>
      </c>
      <c r="D72" s="131">
        <v>250</v>
      </c>
    </row>
    <row r="73" spans="1:4" ht="16.899999999999999" customHeight="1">
      <c r="A73" s="119" t="s">
        <v>306</v>
      </c>
      <c r="B73" s="25"/>
      <c r="C73" s="55" t="s">
        <v>257</v>
      </c>
      <c r="D73" s="12">
        <v>150</v>
      </c>
    </row>
    <row r="74" spans="1:4" ht="16.899999999999999" customHeight="1">
      <c r="A74" s="119" t="s">
        <v>307</v>
      </c>
      <c r="B74" s="25"/>
      <c r="C74" s="55" t="s">
        <v>257</v>
      </c>
      <c r="D74" s="11">
        <v>200</v>
      </c>
    </row>
    <row r="75" spans="1:4" ht="16.899999999999999" customHeight="1" thickBot="1">
      <c r="A75" s="121" t="s">
        <v>308</v>
      </c>
      <c r="B75" s="25"/>
      <c r="C75" s="103" t="s">
        <v>257</v>
      </c>
      <c r="D75" s="130">
        <v>130</v>
      </c>
    </row>
    <row r="76" spans="1:4" ht="19.5" customHeight="1" thickBot="1">
      <c r="A76" s="530" t="s">
        <v>309</v>
      </c>
      <c r="B76" s="531"/>
      <c r="C76" s="531"/>
      <c r="D76" s="532"/>
    </row>
    <row r="77" spans="1:4" ht="19.149999999999999" customHeight="1">
      <c r="A77" s="119" t="s">
        <v>310</v>
      </c>
      <c r="B77" s="25"/>
      <c r="C77" s="55" t="s">
        <v>257</v>
      </c>
      <c r="D77" s="133">
        <v>40</v>
      </c>
    </row>
    <row r="78" spans="1:4" ht="19.149999999999999" customHeight="1" thickBot="1">
      <c r="A78" s="120" t="s">
        <v>311</v>
      </c>
      <c r="B78" s="25"/>
      <c r="C78" s="103" t="s">
        <v>257</v>
      </c>
      <c r="D78" s="130">
        <v>45</v>
      </c>
    </row>
    <row r="79" spans="1:4" ht="19.5" customHeight="1" thickBot="1">
      <c r="A79" s="530" t="s">
        <v>312</v>
      </c>
      <c r="B79" s="562"/>
      <c r="C79" s="531"/>
      <c r="D79" s="532"/>
    </row>
    <row r="80" spans="1:4" ht="19.899999999999999" customHeight="1">
      <c r="A80" s="171" t="s">
        <v>313</v>
      </c>
      <c r="B80" s="104"/>
      <c r="C80" s="56" t="s">
        <v>257</v>
      </c>
      <c r="D80" s="133">
        <v>330</v>
      </c>
    </row>
    <row r="81" spans="1:4" ht="19.899999999999999" customHeight="1">
      <c r="A81" s="171" t="s">
        <v>314</v>
      </c>
      <c r="B81" s="105"/>
      <c r="C81" s="56" t="s">
        <v>257</v>
      </c>
      <c r="D81" s="130">
        <v>240</v>
      </c>
    </row>
    <row r="82" spans="1:4" ht="19.899999999999999" customHeight="1">
      <c r="A82" s="171" t="s">
        <v>315</v>
      </c>
      <c r="B82" s="105"/>
      <c r="C82" s="56" t="s">
        <v>257</v>
      </c>
      <c r="D82" s="130">
        <v>400</v>
      </c>
    </row>
    <row r="83" spans="1:4" ht="19.899999999999999" customHeight="1">
      <c r="A83" s="214" t="s">
        <v>316</v>
      </c>
      <c r="B83" s="105"/>
      <c r="C83" s="215" t="s">
        <v>257</v>
      </c>
      <c r="D83" s="11">
        <v>300</v>
      </c>
    </row>
    <row r="84" spans="1:4" ht="19.899999999999999" customHeight="1" thickBot="1">
      <c r="A84" s="194" t="s">
        <v>317</v>
      </c>
      <c r="B84" s="109"/>
      <c r="C84" s="125" t="s">
        <v>257</v>
      </c>
      <c r="D84" s="131">
        <v>340</v>
      </c>
    </row>
    <row r="85" spans="1:4" ht="13.9" customHeight="1" thickBot="1">
      <c r="A85" s="554" t="s">
        <v>732</v>
      </c>
      <c r="B85" s="564"/>
      <c r="C85" s="555"/>
      <c r="D85" s="556"/>
    </row>
  </sheetData>
  <mergeCells count="17">
    <mergeCell ref="A76:D76"/>
    <mergeCell ref="A79:D79"/>
    <mergeCell ref="A11:D11"/>
    <mergeCell ref="A7:D9"/>
    <mergeCell ref="A85:D85"/>
    <mergeCell ref="A41:D41"/>
    <mergeCell ref="A65:D65"/>
    <mergeCell ref="A1:D1"/>
    <mergeCell ref="A2:D2"/>
    <mergeCell ref="A3:D3"/>
    <mergeCell ref="A4:D4"/>
    <mergeCell ref="A5:D5"/>
    <mergeCell ref="A6:D6"/>
    <mergeCell ref="A10:D10"/>
    <mergeCell ref="A12:D12"/>
    <mergeCell ref="A29:D29"/>
    <mergeCell ref="A14:D14"/>
  </mergeCells>
  <pageMargins left="0.19685039370078741" right="0.19685039370078741" top="0.23622047244094491" bottom="0.23622047244094491" header="0.23622047244094491" footer="0.23622047244094491"/>
  <pageSetup paperSize="9" fitToHeight="2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00"/>
  <sheetViews>
    <sheetView topLeftCell="A23" workbookViewId="0">
      <selection activeCell="C31" sqref="C31"/>
    </sheetView>
  </sheetViews>
  <sheetFormatPr defaultRowHeight="12.75"/>
  <cols>
    <col min="1" max="1" width="38.85546875" customWidth="1"/>
    <col min="2" max="2" width="49" style="9" customWidth="1"/>
    <col min="3" max="3" width="13.7109375" style="22" customWidth="1"/>
    <col min="4" max="4" width="6.140625" hidden="1" customWidth="1"/>
  </cols>
  <sheetData>
    <row r="1" spans="1:4" s="2" customFormat="1" ht="18" customHeight="1">
      <c r="A1" s="528" t="s">
        <v>0</v>
      </c>
      <c r="B1" s="528"/>
      <c r="C1" s="528"/>
    </row>
    <row r="2" spans="1:4" s="2" customFormat="1" ht="18" customHeight="1">
      <c r="A2" s="528" t="s">
        <v>1</v>
      </c>
      <c r="B2" s="528"/>
      <c r="C2" s="528"/>
    </row>
    <row r="3" spans="1:4" s="2" customFormat="1" ht="18" customHeight="1">
      <c r="A3" s="528" t="s">
        <v>2</v>
      </c>
      <c r="B3" s="528"/>
      <c r="C3" s="528"/>
    </row>
    <row r="4" spans="1:4" s="2" customFormat="1" ht="18" customHeight="1">
      <c r="A4" s="528" t="s">
        <v>252</v>
      </c>
      <c r="B4" s="528"/>
      <c r="C4" s="528"/>
    </row>
    <row r="5" spans="1:4" s="2" customFormat="1" ht="18" customHeight="1">
      <c r="A5" s="528" t="s">
        <v>830</v>
      </c>
      <c r="B5" s="528"/>
      <c r="C5" s="528"/>
    </row>
    <row r="6" spans="1:4" s="2" customFormat="1" ht="18" customHeight="1">
      <c r="A6" s="528" t="s">
        <v>50</v>
      </c>
      <c r="B6" s="528"/>
      <c r="C6" s="528"/>
    </row>
    <row r="7" spans="1:4" s="2" customFormat="1" ht="3" customHeight="1">
      <c r="A7" s="1"/>
      <c r="B7" s="14"/>
      <c r="C7" s="23"/>
    </row>
    <row r="8" spans="1:4" s="2" customFormat="1" ht="17.45" customHeight="1">
      <c r="A8" s="563"/>
      <c r="B8" s="563"/>
      <c r="C8" s="23"/>
    </row>
    <row r="9" spans="1:4" s="2" customFormat="1" ht="6" customHeight="1">
      <c r="A9" s="563"/>
      <c r="B9" s="563"/>
      <c r="C9" s="23"/>
    </row>
    <row r="10" spans="1:4" s="2" customFormat="1" ht="26.45" hidden="1" customHeight="1">
      <c r="A10" s="563"/>
      <c r="B10" s="563"/>
      <c r="C10" s="23"/>
    </row>
    <row r="11" spans="1:4" s="52" customFormat="1" ht="24.75" customHeight="1">
      <c r="A11" s="504" t="s">
        <v>318</v>
      </c>
      <c r="B11" s="504"/>
      <c r="C11" s="504"/>
    </row>
    <row r="12" spans="1:4" s="52" customFormat="1" ht="16.899999999999999" customHeight="1">
      <c r="A12" s="524" t="s">
        <v>831</v>
      </c>
      <c r="B12" s="524"/>
      <c r="C12" s="524"/>
      <c r="D12" s="524"/>
    </row>
    <row r="13" spans="1:4" s="52" customFormat="1" ht="17.45" customHeight="1" thickBot="1">
      <c r="A13" s="541" t="s">
        <v>816</v>
      </c>
      <c r="B13" s="541"/>
      <c r="C13" s="541"/>
    </row>
    <row r="14" spans="1:4" s="20" customFormat="1" ht="36.75" customHeight="1" thickBot="1">
      <c r="A14" s="143" t="s">
        <v>5</v>
      </c>
      <c r="B14" s="144" t="s">
        <v>216</v>
      </c>
      <c r="C14" s="145" t="s">
        <v>230</v>
      </c>
    </row>
    <row r="15" spans="1:4" s="19" customFormat="1" ht="15" customHeight="1" thickBot="1">
      <c r="A15" s="530" t="s">
        <v>319</v>
      </c>
      <c r="B15" s="531"/>
      <c r="C15" s="532"/>
    </row>
    <row r="16" spans="1:4" s="19" customFormat="1" ht="23.25">
      <c r="A16" s="80" t="s">
        <v>320</v>
      </c>
      <c r="B16" s="81"/>
      <c r="C16" s="82">
        <v>230</v>
      </c>
    </row>
    <row r="17" spans="1:3" s="19" customFormat="1" ht="23.25">
      <c r="A17" s="80" t="s">
        <v>321</v>
      </c>
      <c r="B17" s="83"/>
      <c r="C17" s="82">
        <v>230</v>
      </c>
    </row>
    <row r="18" spans="1:3" s="19" customFormat="1" ht="23.25">
      <c r="A18" s="80" t="s">
        <v>322</v>
      </c>
      <c r="B18" s="83"/>
      <c r="C18" s="82">
        <v>230</v>
      </c>
    </row>
    <row r="19" spans="1:3" s="19" customFormat="1" ht="23.25">
      <c r="A19" s="80" t="s">
        <v>323</v>
      </c>
      <c r="B19" s="83"/>
      <c r="C19" s="82">
        <v>230</v>
      </c>
    </row>
    <row r="20" spans="1:3" s="19" customFormat="1" ht="23.25">
      <c r="A20" s="80" t="s">
        <v>324</v>
      </c>
      <c r="B20" s="83"/>
      <c r="C20" s="82">
        <v>230</v>
      </c>
    </row>
    <row r="21" spans="1:3" s="19" customFormat="1" ht="23.25">
      <c r="A21" s="80" t="s">
        <v>325</v>
      </c>
      <c r="B21" s="83"/>
      <c r="C21" s="82">
        <v>230</v>
      </c>
    </row>
    <row r="22" spans="1:3" s="19" customFormat="1" ht="23.25">
      <c r="A22" s="80" t="s">
        <v>326</v>
      </c>
      <c r="B22" s="83"/>
      <c r="C22" s="82">
        <v>230</v>
      </c>
    </row>
    <row r="23" spans="1:3" s="19" customFormat="1" ht="24" thickBot="1">
      <c r="A23" s="84" t="s">
        <v>327</v>
      </c>
      <c r="B23" s="83"/>
      <c r="C23" s="82">
        <v>230</v>
      </c>
    </row>
    <row r="24" spans="1:3" s="19" customFormat="1" ht="16.5" customHeight="1" thickBot="1">
      <c r="A24" s="530" t="s">
        <v>328</v>
      </c>
      <c r="B24" s="531"/>
      <c r="C24" s="532"/>
    </row>
    <row r="25" spans="1:3" s="19" customFormat="1" ht="47.45" customHeight="1" thickBot="1">
      <c r="A25" s="34" t="s">
        <v>329</v>
      </c>
      <c r="B25" s="81"/>
      <c r="C25" s="85">
        <v>800</v>
      </c>
    </row>
    <row r="26" spans="1:3" s="19" customFormat="1" ht="47.45" customHeight="1" thickBot="1">
      <c r="A26" s="80" t="s">
        <v>330</v>
      </c>
      <c r="B26" s="83"/>
      <c r="C26" s="85">
        <v>800</v>
      </c>
    </row>
    <row r="27" spans="1:3" s="19" customFormat="1" ht="47.45" customHeight="1" thickBot="1">
      <c r="A27" s="80" t="s">
        <v>331</v>
      </c>
      <c r="B27" s="83"/>
      <c r="C27" s="85">
        <v>800</v>
      </c>
    </row>
    <row r="28" spans="1:3" s="19" customFormat="1" ht="47.45" customHeight="1" thickBot="1">
      <c r="A28" s="84" t="s">
        <v>332</v>
      </c>
      <c r="B28" s="83"/>
      <c r="C28" s="85">
        <v>800</v>
      </c>
    </row>
    <row r="29" spans="1:3" s="19" customFormat="1" ht="16.5" customHeight="1" thickBot="1">
      <c r="A29" s="565" t="s">
        <v>333</v>
      </c>
      <c r="B29" s="566"/>
      <c r="C29" s="567"/>
    </row>
    <row r="30" spans="1:3" s="19" customFormat="1" ht="24.6" customHeight="1">
      <c r="A30" s="86" t="s">
        <v>334</v>
      </c>
      <c r="B30" s="87"/>
      <c r="C30" s="88">
        <v>700</v>
      </c>
    </row>
    <row r="31" spans="1:3" s="19" customFormat="1" ht="24.6" customHeight="1">
      <c r="A31" s="89" t="s">
        <v>335</v>
      </c>
      <c r="B31" s="90"/>
      <c r="C31" s="91">
        <v>900</v>
      </c>
    </row>
    <row r="32" spans="1:3" s="19" customFormat="1" ht="24.6" customHeight="1">
      <c r="A32" s="92" t="s">
        <v>336</v>
      </c>
      <c r="B32" s="90"/>
      <c r="C32" s="93">
        <v>450</v>
      </c>
    </row>
    <row r="33" spans="1:3" s="19" customFormat="1" ht="41.45" customHeight="1" thickBot="1">
      <c r="A33" s="94" t="s">
        <v>337</v>
      </c>
      <c r="B33" s="95"/>
      <c r="C33" s="96">
        <v>500</v>
      </c>
    </row>
    <row r="34" spans="1:3" s="19" customFormat="1" ht="18" customHeight="1" thickBot="1">
      <c r="A34" s="565" t="s">
        <v>338</v>
      </c>
      <c r="B34" s="566"/>
      <c r="C34" s="567"/>
    </row>
    <row r="35" spans="1:3" s="19" customFormat="1" ht="27" customHeight="1" thickBot="1">
      <c r="A35" s="271" t="s">
        <v>339</v>
      </c>
      <c r="B35" s="272"/>
      <c r="C35" s="273">
        <v>6500</v>
      </c>
    </row>
    <row r="36" spans="1:3" s="19" customFormat="1" ht="12.6" customHeight="1" thickBot="1">
      <c r="A36" s="127"/>
      <c r="B36" s="90"/>
      <c r="C36" s="128"/>
    </row>
    <row r="37" spans="1:3" s="19" customFormat="1" ht="24" thickBot="1">
      <c r="A37" s="565" t="s">
        <v>47</v>
      </c>
      <c r="B37" s="566"/>
      <c r="C37" s="567"/>
    </row>
    <row r="38" spans="1:3" s="19" customFormat="1" ht="49.5" customHeight="1">
      <c r="A38" s="350" t="s">
        <v>340</v>
      </c>
      <c r="B38" s="210"/>
      <c r="C38" s="352">
        <v>1400</v>
      </c>
    </row>
    <row r="39" spans="1:3" s="19" customFormat="1" ht="49.5" customHeight="1">
      <c r="A39" s="92" t="s">
        <v>341</v>
      </c>
      <c r="B39" s="97"/>
      <c r="C39" s="93">
        <v>2600</v>
      </c>
    </row>
    <row r="40" spans="1:3" s="19" customFormat="1" ht="49.5" customHeight="1">
      <c r="A40" s="92" t="s">
        <v>342</v>
      </c>
      <c r="B40" s="97"/>
      <c r="C40" s="93">
        <v>3100</v>
      </c>
    </row>
    <row r="41" spans="1:3" s="19" customFormat="1" ht="49.5" customHeight="1">
      <c r="A41" s="92" t="s">
        <v>343</v>
      </c>
      <c r="B41" s="97"/>
      <c r="C41" s="93">
        <v>4500</v>
      </c>
    </row>
    <row r="42" spans="1:3" s="19" customFormat="1" ht="49.5" customHeight="1">
      <c r="A42" s="351" t="s">
        <v>344</v>
      </c>
      <c r="B42" s="97"/>
      <c r="C42" s="93">
        <v>700</v>
      </c>
    </row>
    <row r="43" spans="1:3" s="19" customFormat="1" ht="49.5" customHeight="1">
      <c r="A43" s="351" t="s">
        <v>345</v>
      </c>
      <c r="B43" s="97"/>
      <c r="C43" s="93">
        <v>850</v>
      </c>
    </row>
    <row r="44" spans="1:3" s="19" customFormat="1" ht="49.5" customHeight="1">
      <c r="A44" s="351" t="s">
        <v>740</v>
      </c>
      <c r="B44" s="97"/>
      <c r="C44" s="93">
        <v>560</v>
      </c>
    </row>
    <row r="45" spans="1:3" s="19" customFormat="1" ht="49.5" customHeight="1">
      <c r="A45" s="351" t="s">
        <v>346</v>
      </c>
      <c r="B45" s="83"/>
      <c r="C45" s="353">
        <v>700</v>
      </c>
    </row>
    <row r="46" spans="1:3" s="19" customFormat="1" ht="49.5" customHeight="1">
      <c r="A46" s="351" t="s">
        <v>347</v>
      </c>
      <c r="B46" s="98"/>
      <c r="C46" s="353">
        <v>850</v>
      </c>
    </row>
    <row r="47" spans="1:3" s="19" customFormat="1" ht="57.75" customHeight="1">
      <c r="A47" s="351" t="s">
        <v>739</v>
      </c>
      <c r="B47" s="98"/>
      <c r="C47" s="353">
        <v>240</v>
      </c>
    </row>
    <row r="48" spans="1:3" s="19" customFormat="1" ht="57.75" customHeight="1">
      <c r="A48" s="351" t="s">
        <v>348</v>
      </c>
      <c r="B48" s="98"/>
      <c r="C48" s="353">
        <v>300</v>
      </c>
    </row>
    <row r="49" spans="1:3" s="19" customFormat="1" ht="57.75" customHeight="1">
      <c r="A49" s="351" t="s">
        <v>349</v>
      </c>
      <c r="B49" s="83"/>
      <c r="C49" s="353">
        <v>350</v>
      </c>
    </row>
    <row r="50" spans="1:3" s="19" customFormat="1" ht="42" customHeight="1">
      <c r="A50" s="351" t="s">
        <v>350</v>
      </c>
      <c r="B50" s="98"/>
      <c r="C50" s="353">
        <v>800</v>
      </c>
    </row>
    <row r="51" spans="1:3" s="19" customFormat="1" ht="42" customHeight="1">
      <c r="A51" s="351" t="s">
        <v>351</v>
      </c>
      <c r="B51" s="83"/>
      <c r="C51" s="353">
        <v>1600</v>
      </c>
    </row>
    <row r="52" spans="1:3" s="19" customFormat="1" ht="60" customHeight="1" thickBot="1">
      <c r="A52" s="211" t="s">
        <v>352</v>
      </c>
      <c r="B52" s="212"/>
      <c r="C52" s="354">
        <v>550</v>
      </c>
    </row>
    <row r="53" spans="1:3" s="19" customFormat="1" ht="15.6" customHeight="1" thickBot="1">
      <c r="A53" s="554" t="s">
        <v>732</v>
      </c>
      <c r="B53" s="555"/>
      <c r="C53" s="556"/>
    </row>
    <row r="54" spans="1:3" s="19" customFormat="1" ht="23.25"/>
    <row r="55" spans="1:3" s="19" customFormat="1" ht="23.25"/>
    <row r="56" spans="1:3" s="19" customFormat="1" ht="23.25"/>
    <row r="57" spans="1:3" s="19" customFormat="1" ht="23.25"/>
    <row r="58" spans="1:3" s="19" customFormat="1" ht="23.25"/>
    <row r="59" spans="1:3" s="19" customFormat="1" ht="23.25"/>
    <row r="60" spans="1:3" s="19" customFormat="1" ht="23.25"/>
    <row r="61" spans="1:3" s="19" customFormat="1" ht="23.25"/>
    <row r="62" spans="1:3" s="19" customFormat="1" ht="23.25"/>
    <row r="63" spans="1:3" s="19" customFormat="1" ht="23.25"/>
    <row r="64" spans="1:3" s="19" customFormat="1" ht="23.25"/>
    <row r="65" s="19" customFormat="1" ht="23.25"/>
    <row r="66" s="19" customFormat="1" ht="23.25"/>
    <row r="67" s="19" customFormat="1" ht="23.25"/>
    <row r="68" s="19" customFormat="1" ht="23.25"/>
    <row r="69" s="19" customFormat="1" ht="23.25"/>
    <row r="70" s="19" customFormat="1" ht="23.25"/>
    <row r="71" s="19" customFormat="1" ht="23.25"/>
    <row r="72" s="19" customFormat="1" ht="21.75" customHeight="1"/>
    <row r="73" s="19" customFormat="1" ht="21.75" customHeight="1"/>
    <row r="74" s="19" customFormat="1" ht="21.75" customHeight="1"/>
    <row r="75" s="19" customFormat="1" ht="21.75" customHeight="1"/>
    <row r="76" s="19" customFormat="1" ht="21.75" customHeight="1"/>
    <row r="77" s="19" customFormat="1" ht="21.75" customHeight="1"/>
    <row r="78" s="19" customFormat="1" ht="21.75" customHeight="1"/>
    <row r="79" s="19" customFormat="1" ht="21.75" customHeight="1"/>
    <row r="80" s="19" customFormat="1" ht="21.75" customHeight="1"/>
    <row r="81" spans="2:8" s="19" customFormat="1" ht="21.75" customHeight="1"/>
    <row r="82" spans="2:8" s="19" customFormat="1" ht="21.75" customHeight="1"/>
    <row r="83" spans="2:8" s="19" customFormat="1" ht="21.75" customHeight="1"/>
    <row r="84" spans="2:8" s="19" customFormat="1" ht="21.75" customHeight="1"/>
    <row r="85" spans="2:8" s="19" customFormat="1" ht="21.75" customHeight="1"/>
    <row r="86" spans="2:8" s="19" customFormat="1" ht="25.5" customHeight="1"/>
    <row r="87" spans="2:8" s="19" customFormat="1" ht="21.75" customHeight="1"/>
    <row r="88" spans="2:8" s="19" customFormat="1" ht="25.5" customHeight="1"/>
    <row r="89" spans="2:8" s="19" customFormat="1" ht="21.75" customHeight="1"/>
    <row r="90" spans="2:8" s="19" customFormat="1" ht="21.75" customHeight="1"/>
    <row r="91" spans="2:8" s="20" customFormat="1" ht="26.25" customHeight="1"/>
    <row r="92" spans="2:8" s="20" customFormat="1" ht="21.75" customHeight="1"/>
    <row r="93" spans="2:8" s="2" customFormat="1" ht="21.75" customHeight="1"/>
    <row r="94" spans="2:8" s="2" customFormat="1" ht="21.75" customHeight="1"/>
    <row r="95" spans="2:8" ht="21.75" customHeight="1">
      <c r="B95"/>
      <c r="C95"/>
    </row>
    <row r="96" spans="2:8" ht="21.75" customHeight="1">
      <c r="B96"/>
      <c r="C96"/>
      <c r="H96" s="3"/>
    </row>
    <row r="97" spans="2:3" ht="21.75" customHeight="1">
      <c r="B97"/>
      <c r="C97"/>
    </row>
    <row r="98" spans="2:3" ht="15" customHeight="1">
      <c r="B98"/>
      <c r="C98"/>
    </row>
    <row r="99" spans="2:3" ht="20.25" customHeight="1">
      <c r="B99"/>
      <c r="C99"/>
    </row>
    <row r="100" spans="2:3">
      <c r="B100"/>
      <c r="C100"/>
    </row>
  </sheetData>
  <mergeCells count="16">
    <mergeCell ref="A24:C24"/>
    <mergeCell ref="A29:C29"/>
    <mergeCell ref="A34:C34"/>
    <mergeCell ref="A37:C37"/>
    <mergeCell ref="A53:C53"/>
    <mergeCell ref="A6:C6"/>
    <mergeCell ref="A11:C11"/>
    <mergeCell ref="A13:C13"/>
    <mergeCell ref="A15:C15"/>
    <mergeCell ref="A1:C1"/>
    <mergeCell ref="A2:C2"/>
    <mergeCell ref="A3:C3"/>
    <mergeCell ref="A4:C4"/>
    <mergeCell ref="A5:C5"/>
    <mergeCell ref="A8:B10"/>
    <mergeCell ref="A12:D12"/>
  </mergeCells>
  <pageMargins left="0.2" right="0.21" top="0.24" bottom="0.24" header="0.24" footer="0.24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3"/>
  <sheetViews>
    <sheetView workbookViewId="0">
      <selection activeCell="T15" sqref="T15"/>
    </sheetView>
  </sheetViews>
  <sheetFormatPr defaultRowHeight="12.75"/>
  <cols>
    <col min="1" max="1" width="6.140625" customWidth="1"/>
    <col min="2" max="2" width="16.28515625" customWidth="1"/>
    <col min="3" max="3" width="6.140625" customWidth="1"/>
    <col min="4" max="4" width="7.28515625" style="225" customWidth="1"/>
    <col min="5" max="5" width="2.28515625" customWidth="1"/>
    <col min="6" max="6" width="5.7109375" customWidth="1"/>
    <col min="7" max="7" width="20.5703125" customWidth="1"/>
    <col min="8" max="8" width="5" customWidth="1"/>
    <col min="9" max="9" width="6.85546875" customWidth="1"/>
  </cols>
  <sheetData>
    <row r="1" spans="1:9" ht="15.6" customHeight="1">
      <c r="A1" s="569" t="s">
        <v>406</v>
      </c>
      <c r="B1" s="569"/>
      <c r="C1" s="569"/>
      <c r="D1" s="569"/>
      <c r="F1" s="568" t="s">
        <v>407</v>
      </c>
      <c r="G1" s="568"/>
      <c r="H1" s="568"/>
      <c r="I1" s="568"/>
    </row>
    <row r="2" spans="1:9" ht="15.6" customHeight="1">
      <c r="A2" s="226" t="s">
        <v>408</v>
      </c>
      <c r="B2" s="226" t="s">
        <v>409</v>
      </c>
      <c r="C2" s="227" t="s">
        <v>410</v>
      </c>
      <c r="D2" s="229">
        <v>290</v>
      </c>
      <c r="F2" s="226" t="s">
        <v>411</v>
      </c>
      <c r="G2" s="226" t="s">
        <v>412</v>
      </c>
      <c r="H2" s="227" t="s">
        <v>413</v>
      </c>
      <c r="I2" s="229">
        <v>2</v>
      </c>
    </row>
    <row r="3" spans="1:9" ht="15.6" customHeight="1">
      <c r="A3" s="226" t="s">
        <v>414</v>
      </c>
      <c r="B3" s="226" t="s">
        <v>415</v>
      </c>
      <c r="C3" s="227" t="s">
        <v>410</v>
      </c>
      <c r="D3" s="229">
        <v>290</v>
      </c>
      <c r="F3" s="226" t="s">
        <v>416</v>
      </c>
      <c r="G3" s="226" t="s">
        <v>417</v>
      </c>
      <c r="H3" s="227" t="s">
        <v>413</v>
      </c>
      <c r="I3" s="229">
        <v>4</v>
      </c>
    </row>
    <row r="4" spans="1:9" ht="15.6" customHeight="1">
      <c r="A4" s="226" t="s">
        <v>418</v>
      </c>
      <c r="B4" s="226" t="s">
        <v>419</v>
      </c>
      <c r="C4" s="227" t="s">
        <v>410</v>
      </c>
      <c r="D4" s="229">
        <v>290</v>
      </c>
      <c r="F4" s="226" t="s">
        <v>420</v>
      </c>
      <c r="G4" s="226" t="s">
        <v>421</v>
      </c>
      <c r="H4" s="227" t="s">
        <v>413</v>
      </c>
      <c r="I4" s="229">
        <v>7</v>
      </c>
    </row>
    <row r="5" spans="1:9" ht="15.6" customHeight="1">
      <c r="A5" s="226" t="s">
        <v>422</v>
      </c>
      <c r="B5" s="226" t="s">
        <v>423</v>
      </c>
      <c r="C5" s="227" t="s">
        <v>410</v>
      </c>
      <c r="D5" s="229">
        <v>290</v>
      </c>
      <c r="F5" s="226" t="s">
        <v>424</v>
      </c>
      <c r="G5" s="226" t="s">
        <v>425</v>
      </c>
      <c r="H5" s="227" t="s">
        <v>413</v>
      </c>
      <c r="I5" s="229">
        <v>10</v>
      </c>
    </row>
    <row r="6" spans="1:9" ht="15.6" customHeight="1">
      <c r="A6" s="226" t="s">
        <v>426</v>
      </c>
      <c r="B6" s="226" t="s">
        <v>427</v>
      </c>
      <c r="C6" s="227" t="s">
        <v>410</v>
      </c>
      <c r="D6" s="229">
        <v>290</v>
      </c>
      <c r="F6" s="568" t="s">
        <v>428</v>
      </c>
      <c r="G6" s="568"/>
      <c r="H6" s="568"/>
      <c r="I6" s="568"/>
    </row>
    <row r="7" spans="1:9" ht="15.6" customHeight="1">
      <c r="A7" s="569" t="s">
        <v>429</v>
      </c>
      <c r="B7" s="569"/>
      <c r="C7" s="569"/>
      <c r="D7" s="569"/>
      <c r="F7" s="226" t="s">
        <v>430</v>
      </c>
      <c r="G7" s="226" t="s">
        <v>431</v>
      </c>
      <c r="H7" s="227" t="s">
        <v>413</v>
      </c>
      <c r="I7" s="229">
        <v>70</v>
      </c>
    </row>
    <row r="8" spans="1:9" ht="15.6" customHeight="1">
      <c r="A8" s="226" t="s">
        <v>432</v>
      </c>
      <c r="B8" s="226" t="s">
        <v>433</v>
      </c>
      <c r="C8" s="227" t="s">
        <v>434</v>
      </c>
      <c r="D8" s="229">
        <v>120</v>
      </c>
      <c r="F8" s="226" t="s">
        <v>435</v>
      </c>
      <c r="G8" s="226" t="s">
        <v>436</v>
      </c>
      <c r="H8" s="227" t="s">
        <v>413</v>
      </c>
      <c r="I8" s="229">
        <v>70</v>
      </c>
    </row>
    <row r="9" spans="1:9" ht="15.6" customHeight="1">
      <c r="A9" s="226" t="s">
        <v>437</v>
      </c>
      <c r="B9" s="226" t="s">
        <v>438</v>
      </c>
      <c r="C9" s="227" t="s">
        <v>434</v>
      </c>
      <c r="D9" s="229">
        <v>120</v>
      </c>
      <c r="F9" s="226" t="s">
        <v>439</v>
      </c>
      <c r="G9" s="226" t="s">
        <v>440</v>
      </c>
      <c r="H9" s="227" t="s">
        <v>413</v>
      </c>
      <c r="I9" s="229">
        <v>70</v>
      </c>
    </row>
    <row r="10" spans="1:9" ht="15.6" customHeight="1">
      <c r="A10" s="226" t="s">
        <v>441</v>
      </c>
      <c r="B10" s="226" t="s">
        <v>442</v>
      </c>
      <c r="C10" s="227" t="s">
        <v>434</v>
      </c>
      <c r="D10" s="229">
        <v>120</v>
      </c>
      <c r="F10" s="226" t="s">
        <v>443</v>
      </c>
      <c r="G10" s="226" t="s">
        <v>444</v>
      </c>
      <c r="H10" s="227" t="s">
        <v>413</v>
      </c>
      <c r="I10" s="229">
        <v>70</v>
      </c>
    </row>
    <row r="11" spans="1:9" ht="15.6" customHeight="1">
      <c r="A11" s="226" t="s">
        <v>445</v>
      </c>
      <c r="B11" s="226" t="s">
        <v>446</v>
      </c>
      <c r="C11" s="227" t="s">
        <v>434</v>
      </c>
      <c r="D11" s="229">
        <v>120</v>
      </c>
      <c r="F11" s="568" t="s">
        <v>447</v>
      </c>
      <c r="G11" s="568"/>
      <c r="H11" s="568"/>
      <c r="I11" s="568"/>
    </row>
    <row r="12" spans="1:9" ht="15.6" customHeight="1">
      <c r="A12" s="226" t="s">
        <v>448</v>
      </c>
      <c r="B12" s="226" t="s">
        <v>449</v>
      </c>
      <c r="C12" s="227" t="s">
        <v>434</v>
      </c>
      <c r="D12" s="229">
        <v>120</v>
      </c>
      <c r="F12" s="226" t="s">
        <v>450</v>
      </c>
      <c r="G12" s="226" t="s">
        <v>451</v>
      </c>
      <c r="H12" s="227" t="s">
        <v>410</v>
      </c>
      <c r="I12" s="229">
        <v>400</v>
      </c>
    </row>
    <row r="13" spans="1:9" ht="15.6" customHeight="1">
      <c r="A13" s="569" t="s">
        <v>452</v>
      </c>
      <c r="B13" s="569"/>
      <c r="C13" s="569"/>
      <c r="D13" s="569"/>
      <c r="F13" s="226" t="s">
        <v>453</v>
      </c>
      <c r="G13" s="226" t="s">
        <v>454</v>
      </c>
      <c r="H13" s="227" t="s">
        <v>410</v>
      </c>
      <c r="I13" s="229">
        <v>400</v>
      </c>
    </row>
    <row r="14" spans="1:9" ht="15.6" customHeight="1">
      <c r="A14" s="226" t="s">
        <v>455</v>
      </c>
      <c r="B14" s="226" t="s">
        <v>456</v>
      </c>
      <c r="C14" s="227" t="s">
        <v>410</v>
      </c>
      <c r="D14" s="229">
        <v>150</v>
      </c>
      <c r="F14" s="226" t="s">
        <v>457</v>
      </c>
      <c r="G14" s="226" t="s">
        <v>458</v>
      </c>
      <c r="H14" s="227" t="s">
        <v>410</v>
      </c>
      <c r="I14" s="229">
        <v>400</v>
      </c>
    </row>
    <row r="15" spans="1:9" ht="15.6" customHeight="1">
      <c r="A15" s="228" t="s">
        <v>459</v>
      </c>
      <c r="B15" s="226" t="s">
        <v>460</v>
      </c>
      <c r="C15" s="227" t="s">
        <v>410</v>
      </c>
      <c r="D15" s="229">
        <v>150</v>
      </c>
      <c r="F15" s="226" t="s">
        <v>461</v>
      </c>
      <c r="G15" s="226" t="s">
        <v>462</v>
      </c>
      <c r="H15" s="227" t="s">
        <v>410</v>
      </c>
      <c r="I15" s="229">
        <v>400</v>
      </c>
    </row>
    <row r="16" spans="1:9" ht="15.6" customHeight="1">
      <c r="A16" s="226" t="s">
        <v>463</v>
      </c>
      <c r="B16" s="226" t="s">
        <v>464</v>
      </c>
      <c r="C16" s="227" t="s">
        <v>410</v>
      </c>
      <c r="D16" s="229">
        <v>150</v>
      </c>
      <c r="F16" s="226" t="s">
        <v>465</v>
      </c>
      <c r="G16" s="226" t="s">
        <v>466</v>
      </c>
      <c r="H16" s="227" t="s">
        <v>410</v>
      </c>
      <c r="I16" s="229">
        <v>400</v>
      </c>
    </row>
    <row r="17" spans="1:9" ht="15.6" customHeight="1">
      <c r="A17" s="226" t="s">
        <v>467</v>
      </c>
      <c r="B17" s="226" t="s">
        <v>468</v>
      </c>
      <c r="C17" s="227" t="s">
        <v>410</v>
      </c>
      <c r="D17" s="229">
        <v>150</v>
      </c>
      <c r="F17" s="226" t="s">
        <v>469</v>
      </c>
      <c r="G17" s="226" t="s">
        <v>470</v>
      </c>
      <c r="H17" s="227" t="s">
        <v>410</v>
      </c>
      <c r="I17" s="229">
        <v>400</v>
      </c>
    </row>
    <row r="18" spans="1:9" ht="15.6" customHeight="1">
      <c r="A18" s="226" t="s">
        <v>471</v>
      </c>
      <c r="B18" s="226" t="s">
        <v>472</v>
      </c>
      <c r="C18" s="227" t="s">
        <v>410</v>
      </c>
      <c r="D18" s="229">
        <v>140</v>
      </c>
      <c r="F18" s="226" t="s">
        <v>473</v>
      </c>
      <c r="G18" s="226" t="s">
        <v>474</v>
      </c>
      <c r="H18" s="227" t="s">
        <v>410</v>
      </c>
      <c r="I18" s="229">
        <v>400</v>
      </c>
    </row>
    <row r="19" spans="1:9" ht="15.6" customHeight="1">
      <c r="A19" s="228" t="s">
        <v>475</v>
      </c>
      <c r="B19" s="226" t="s">
        <v>476</v>
      </c>
      <c r="C19" s="227" t="s">
        <v>410</v>
      </c>
      <c r="D19" s="229">
        <v>140</v>
      </c>
      <c r="F19" s="226" t="s">
        <v>477</v>
      </c>
      <c r="G19" s="226" t="s">
        <v>478</v>
      </c>
      <c r="H19" s="227" t="s">
        <v>410</v>
      </c>
      <c r="I19" s="229">
        <v>400</v>
      </c>
    </row>
    <row r="20" spans="1:9" ht="15.6" customHeight="1">
      <c r="A20" s="226" t="s">
        <v>479</v>
      </c>
      <c r="B20" s="226" t="s">
        <v>480</v>
      </c>
      <c r="C20" s="227" t="s">
        <v>410</v>
      </c>
      <c r="D20" s="229">
        <v>140</v>
      </c>
      <c r="F20" s="226" t="s">
        <v>481</v>
      </c>
      <c r="G20" s="226" t="s">
        <v>482</v>
      </c>
      <c r="H20" s="227" t="s">
        <v>410</v>
      </c>
      <c r="I20" s="229">
        <v>400</v>
      </c>
    </row>
    <row r="21" spans="1:9" ht="15.6" customHeight="1">
      <c r="A21" s="226" t="s">
        <v>483</v>
      </c>
      <c r="B21" s="226" t="s">
        <v>484</v>
      </c>
      <c r="C21" s="227" t="s">
        <v>410</v>
      </c>
      <c r="D21" s="229">
        <v>140</v>
      </c>
      <c r="F21" s="226" t="s">
        <v>485</v>
      </c>
      <c r="G21" s="226" t="s">
        <v>486</v>
      </c>
      <c r="H21" s="227" t="s">
        <v>410</v>
      </c>
      <c r="I21" s="229">
        <v>400</v>
      </c>
    </row>
    <row r="22" spans="1:9" ht="15.6" customHeight="1">
      <c r="A22" s="228" t="s">
        <v>487</v>
      </c>
      <c r="B22" s="226" t="s">
        <v>488</v>
      </c>
      <c r="C22" s="227" t="s">
        <v>410</v>
      </c>
      <c r="D22" s="229">
        <v>140</v>
      </c>
      <c r="F22" s="226" t="s">
        <v>489</v>
      </c>
      <c r="G22" s="226" t="s">
        <v>490</v>
      </c>
      <c r="H22" s="227" t="s">
        <v>410</v>
      </c>
      <c r="I22" s="229">
        <v>400</v>
      </c>
    </row>
    <row r="23" spans="1:9" ht="15.6" customHeight="1">
      <c r="A23" s="226" t="s">
        <v>491</v>
      </c>
      <c r="B23" s="226" t="s">
        <v>492</v>
      </c>
      <c r="C23" s="227" t="s">
        <v>410</v>
      </c>
      <c r="D23" s="229">
        <v>140</v>
      </c>
      <c r="F23" s="226" t="s">
        <v>493</v>
      </c>
      <c r="G23" s="226" t="s">
        <v>494</v>
      </c>
      <c r="H23" s="227" t="s">
        <v>410</v>
      </c>
      <c r="I23" s="229">
        <v>400</v>
      </c>
    </row>
    <row r="24" spans="1:9" ht="15.6" customHeight="1">
      <c r="A24" s="228" t="s">
        <v>495</v>
      </c>
      <c r="B24" s="226" t="s">
        <v>496</v>
      </c>
      <c r="C24" s="227" t="s">
        <v>410</v>
      </c>
      <c r="D24" s="229">
        <v>140</v>
      </c>
      <c r="F24" s="226" t="s">
        <v>497</v>
      </c>
      <c r="G24" s="226" t="s">
        <v>498</v>
      </c>
      <c r="H24" s="227" t="s">
        <v>410</v>
      </c>
      <c r="I24" s="229">
        <v>480</v>
      </c>
    </row>
    <row r="25" spans="1:9" ht="15.6" customHeight="1">
      <c r="A25" s="226" t="s">
        <v>499</v>
      </c>
      <c r="B25" s="226" t="s">
        <v>500</v>
      </c>
      <c r="C25" s="227" t="s">
        <v>410</v>
      </c>
      <c r="D25" s="229">
        <v>210</v>
      </c>
      <c r="F25" s="226" t="s">
        <v>501</v>
      </c>
      <c r="G25" s="226" t="s">
        <v>502</v>
      </c>
      <c r="H25" s="227" t="s">
        <v>410</v>
      </c>
      <c r="I25" s="229">
        <v>480</v>
      </c>
    </row>
    <row r="26" spans="1:9" ht="15.6" customHeight="1">
      <c r="A26" s="226" t="s">
        <v>503</v>
      </c>
      <c r="B26" s="226" t="s">
        <v>504</v>
      </c>
      <c r="C26" s="227" t="s">
        <v>410</v>
      </c>
      <c r="D26" s="229">
        <v>210</v>
      </c>
      <c r="F26" s="226" t="s">
        <v>505</v>
      </c>
      <c r="G26" s="226" t="s">
        <v>506</v>
      </c>
      <c r="H26" s="227" t="s">
        <v>410</v>
      </c>
      <c r="I26" s="229">
        <v>480</v>
      </c>
    </row>
    <row r="27" spans="1:9" ht="15.6" customHeight="1">
      <c r="A27" s="568" t="s">
        <v>507</v>
      </c>
      <c r="B27" s="568"/>
      <c r="C27" s="568"/>
      <c r="D27" s="568"/>
      <c r="F27" s="226" t="s">
        <v>508</v>
      </c>
      <c r="G27" s="226" t="s">
        <v>509</v>
      </c>
      <c r="H27" s="227" t="s">
        <v>410</v>
      </c>
      <c r="I27" s="229">
        <v>550</v>
      </c>
    </row>
    <row r="28" spans="1:9" ht="15.6" customHeight="1">
      <c r="A28" s="228" t="s">
        <v>510</v>
      </c>
      <c r="B28" s="226" t="s">
        <v>511</v>
      </c>
      <c r="C28" s="227" t="s">
        <v>413</v>
      </c>
      <c r="D28" s="229">
        <v>4</v>
      </c>
      <c r="F28" s="226" t="s">
        <v>512</v>
      </c>
      <c r="G28" s="226" t="s">
        <v>513</v>
      </c>
      <c r="H28" s="227" t="s">
        <v>410</v>
      </c>
      <c r="I28" s="229">
        <v>550</v>
      </c>
    </row>
    <row r="29" spans="1:9" ht="15.6" customHeight="1">
      <c r="A29" s="228" t="s">
        <v>514</v>
      </c>
      <c r="B29" s="226" t="s">
        <v>515</v>
      </c>
      <c r="C29" s="227" t="s">
        <v>413</v>
      </c>
      <c r="D29" s="229">
        <v>4</v>
      </c>
      <c r="F29" s="226" t="s">
        <v>516</v>
      </c>
      <c r="G29" s="226" t="s">
        <v>517</v>
      </c>
      <c r="H29" s="227" t="s">
        <v>410</v>
      </c>
      <c r="I29" s="229">
        <v>550</v>
      </c>
    </row>
    <row r="30" spans="1:9" ht="15.6" customHeight="1">
      <c r="A30" s="228" t="s">
        <v>518</v>
      </c>
      <c r="B30" s="226" t="s">
        <v>519</v>
      </c>
      <c r="C30" s="227" t="s">
        <v>413</v>
      </c>
      <c r="D30" s="229">
        <v>5</v>
      </c>
      <c r="F30" s="568" t="s">
        <v>520</v>
      </c>
      <c r="G30" s="568"/>
      <c r="H30" s="568"/>
      <c r="I30" s="568"/>
    </row>
    <row r="31" spans="1:9" ht="15.6" customHeight="1">
      <c r="A31" s="226" t="s">
        <v>521</v>
      </c>
      <c r="B31" s="226" t="s">
        <v>522</v>
      </c>
      <c r="C31" s="227" t="s">
        <v>413</v>
      </c>
      <c r="D31" s="229">
        <v>5</v>
      </c>
      <c r="F31" s="226" t="s">
        <v>523</v>
      </c>
      <c r="G31" s="226" t="s">
        <v>524</v>
      </c>
      <c r="H31" s="227" t="s">
        <v>410</v>
      </c>
      <c r="I31" s="229">
        <v>620</v>
      </c>
    </row>
    <row r="32" spans="1:9" ht="15.6" customHeight="1">
      <c r="A32" s="226" t="s">
        <v>525</v>
      </c>
      <c r="B32" s="226" t="s">
        <v>506</v>
      </c>
      <c r="C32" s="227" t="s">
        <v>413</v>
      </c>
      <c r="D32" s="229">
        <v>8</v>
      </c>
      <c r="F32" s="226" t="s">
        <v>526</v>
      </c>
      <c r="G32" s="226" t="s">
        <v>527</v>
      </c>
      <c r="H32" s="227" t="s">
        <v>410</v>
      </c>
      <c r="I32" s="229">
        <v>620</v>
      </c>
    </row>
    <row r="33" spans="1:9" ht="15.6" customHeight="1">
      <c r="A33" s="228" t="s">
        <v>528</v>
      </c>
      <c r="B33" s="226" t="s">
        <v>513</v>
      </c>
      <c r="C33" s="227" t="s">
        <v>413</v>
      </c>
      <c r="D33" s="229">
        <v>13</v>
      </c>
      <c r="F33" s="226" t="s">
        <v>529</v>
      </c>
      <c r="G33" s="226" t="s">
        <v>530</v>
      </c>
      <c r="H33" s="227" t="s">
        <v>410</v>
      </c>
      <c r="I33" s="229">
        <v>620</v>
      </c>
    </row>
    <row r="34" spans="1:9" ht="15.6" customHeight="1">
      <c r="A34" s="228" t="s">
        <v>531</v>
      </c>
      <c r="B34" s="226" t="s">
        <v>532</v>
      </c>
      <c r="C34" s="227" t="s">
        <v>413</v>
      </c>
      <c r="D34" s="229">
        <v>8</v>
      </c>
      <c r="F34" s="226" t="s">
        <v>533</v>
      </c>
      <c r="G34" s="226" t="s">
        <v>534</v>
      </c>
      <c r="H34" s="227" t="s">
        <v>410</v>
      </c>
      <c r="I34" s="229">
        <v>620</v>
      </c>
    </row>
    <row r="35" spans="1:9" ht="15.6" customHeight="1">
      <c r="A35" s="228" t="s">
        <v>535</v>
      </c>
      <c r="B35" s="226" t="s">
        <v>536</v>
      </c>
      <c r="C35" s="227" t="s">
        <v>413</v>
      </c>
      <c r="D35" s="229">
        <v>9</v>
      </c>
      <c r="F35" s="226" t="s">
        <v>537</v>
      </c>
      <c r="G35" s="226" t="s">
        <v>538</v>
      </c>
      <c r="H35" s="227" t="s">
        <v>410</v>
      </c>
      <c r="I35" s="229">
        <v>480</v>
      </c>
    </row>
    <row r="36" spans="1:9" ht="15.6" customHeight="1">
      <c r="A36" s="228" t="s">
        <v>539</v>
      </c>
      <c r="B36" s="226" t="s">
        <v>540</v>
      </c>
      <c r="C36" s="227" t="s">
        <v>413</v>
      </c>
      <c r="D36" s="229">
        <v>11</v>
      </c>
      <c r="F36" s="226" t="s">
        <v>541</v>
      </c>
      <c r="G36" s="226" t="s">
        <v>542</v>
      </c>
      <c r="H36" s="227" t="s">
        <v>410</v>
      </c>
      <c r="I36" s="229">
        <v>480</v>
      </c>
    </row>
    <row r="37" spans="1:9" ht="15.6" customHeight="1">
      <c r="A37" s="226" t="s">
        <v>543</v>
      </c>
      <c r="B37" s="226" t="s">
        <v>544</v>
      </c>
      <c r="C37" s="227" t="s">
        <v>413</v>
      </c>
      <c r="D37" s="229">
        <v>12</v>
      </c>
      <c r="F37" s="226" t="s">
        <v>545</v>
      </c>
      <c r="G37" s="226" t="s">
        <v>546</v>
      </c>
      <c r="H37" s="227" t="s">
        <v>410</v>
      </c>
      <c r="I37" s="229">
        <v>480</v>
      </c>
    </row>
    <row r="38" spans="1:9" ht="15.6" customHeight="1">
      <c r="A38" s="226" t="s">
        <v>547</v>
      </c>
      <c r="B38" s="226" t="s">
        <v>548</v>
      </c>
      <c r="C38" s="227" t="s">
        <v>413</v>
      </c>
      <c r="D38" s="229">
        <v>14</v>
      </c>
      <c r="F38" s="226" t="s">
        <v>549</v>
      </c>
      <c r="G38" s="226" t="s">
        <v>550</v>
      </c>
      <c r="H38" s="227" t="s">
        <v>410</v>
      </c>
      <c r="I38" s="229">
        <v>480</v>
      </c>
    </row>
    <row r="39" spans="1:9" ht="15.6" customHeight="1">
      <c r="A39" s="226" t="s">
        <v>551</v>
      </c>
      <c r="B39" s="226" t="s">
        <v>552</v>
      </c>
      <c r="C39" s="227" t="s">
        <v>413</v>
      </c>
      <c r="D39" s="229">
        <v>18</v>
      </c>
      <c r="F39" s="226" t="s">
        <v>553</v>
      </c>
      <c r="G39" s="226" t="s">
        <v>554</v>
      </c>
      <c r="H39" s="227" t="s">
        <v>410</v>
      </c>
      <c r="I39" s="229">
        <v>480</v>
      </c>
    </row>
    <row r="40" spans="1:9" ht="15.6" customHeight="1">
      <c r="A40" s="226" t="s">
        <v>555</v>
      </c>
      <c r="B40" s="226" t="s">
        <v>556</v>
      </c>
      <c r="C40" s="227" t="s">
        <v>413</v>
      </c>
      <c r="D40" s="229">
        <v>19</v>
      </c>
      <c r="F40" s="226" t="s">
        <v>557</v>
      </c>
      <c r="G40" s="226" t="s">
        <v>558</v>
      </c>
      <c r="H40" s="227" t="s">
        <v>410</v>
      </c>
      <c r="I40" s="229">
        <v>480</v>
      </c>
    </row>
    <row r="41" spans="1:9" ht="15.6" customHeight="1">
      <c r="A41" s="226" t="s">
        <v>559</v>
      </c>
      <c r="B41" s="226" t="s">
        <v>560</v>
      </c>
      <c r="C41" s="227" t="s">
        <v>413</v>
      </c>
      <c r="D41" s="229">
        <v>23</v>
      </c>
      <c r="F41" s="226" t="s">
        <v>561</v>
      </c>
      <c r="G41" s="226" t="s">
        <v>562</v>
      </c>
      <c r="H41" s="227" t="s">
        <v>410</v>
      </c>
      <c r="I41" s="229">
        <v>480</v>
      </c>
    </row>
    <row r="42" spans="1:9" ht="15.6" customHeight="1">
      <c r="A42" s="226" t="s">
        <v>563</v>
      </c>
      <c r="B42" s="226" t="s">
        <v>564</v>
      </c>
      <c r="C42" s="227" t="s">
        <v>413</v>
      </c>
      <c r="D42" s="229">
        <v>28</v>
      </c>
      <c r="F42" s="226" t="s">
        <v>565</v>
      </c>
      <c r="G42" s="226" t="s">
        <v>566</v>
      </c>
      <c r="H42" s="227" t="s">
        <v>410</v>
      </c>
      <c r="I42" s="229">
        <v>480</v>
      </c>
    </row>
    <row r="43" spans="1:9" ht="15.6" customHeight="1">
      <c r="A43" s="226" t="s">
        <v>567</v>
      </c>
      <c r="B43" s="226" t="s">
        <v>568</v>
      </c>
      <c r="C43" s="227" t="s">
        <v>413</v>
      </c>
      <c r="D43" s="229">
        <v>33</v>
      </c>
      <c r="F43" s="226" t="s">
        <v>569</v>
      </c>
      <c r="G43" s="226" t="s">
        <v>570</v>
      </c>
      <c r="H43" s="227" t="s">
        <v>410</v>
      </c>
      <c r="I43" s="229">
        <v>480</v>
      </c>
    </row>
    <row r="44" spans="1:9" ht="15.6" customHeight="1">
      <c r="A44" s="226" t="s">
        <v>571</v>
      </c>
      <c r="B44" s="226" t="s">
        <v>572</v>
      </c>
      <c r="C44" s="227" t="s">
        <v>413</v>
      </c>
      <c r="D44" s="229">
        <v>25</v>
      </c>
      <c r="F44" s="226" t="s">
        <v>573</v>
      </c>
      <c r="G44" s="226" t="s">
        <v>511</v>
      </c>
      <c r="H44" s="227" t="s">
        <v>410</v>
      </c>
      <c r="I44" s="229">
        <v>480</v>
      </c>
    </row>
    <row r="45" spans="1:9" ht="15.6" customHeight="1">
      <c r="A45" s="226" t="s">
        <v>574</v>
      </c>
      <c r="B45" s="226" t="s">
        <v>575</v>
      </c>
      <c r="C45" s="227" t="s">
        <v>413</v>
      </c>
      <c r="D45" s="229">
        <v>28</v>
      </c>
      <c r="F45" s="226" t="s">
        <v>576</v>
      </c>
      <c r="G45" s="226" t="s">
        <v>515</v>
      </c>
      <c r="H45" s="227" t="s">
        <v>410</v>
      </c>
      <c r="I45" s="229">
        <v>480</v>
      </c>
    </row>
    <row r="46" spans="1:9" ht="15.6" customHeight="1">
      <c r="A46" s="226" t="s">
        <v>577</v>
      </c>
      <c r="B46" s="226" t="s">
        <v>578</v>
      </c>
      <c r="C46" s="227" t="s">
        <v>413</v>
      </c>
      <c r="D46" s="229">
        <v>33</v>
      </c>
      <c r="F46" s="226" t="s">
        <v>579</v>
      </c>
      <c r="G46" s="226" t="s">
        <v>519</v>
      </c>
      <c r="H46" s="227" t="s">
        <v>410</v>
      </c>
      <c r="I46" s="229">
        <v>480</v>
      </c>
    </row>
    <row r="47" spans="1:9" ht="15.6" customHeight="1">
      <c r="A47" s="226" t="s">
        <v>580</v>
      </c>
      <c r="B47" s="226" t="s">
        <v>581</v>
      </c>
      <c r="C47" s="227" t="s">
        <v>413</v>
      </c>
      <c r="D47" s="229">
        <v>39</v>
      </c>
      <c r="F47" s="226" t="s">
        <v>582</v>
      </c>
      <c r="G47" s="226" t="s">
        <v>522</v>
      </c>
      <c r="H47" s="227" t="s">
        <v>410</v>
      </c>
      <c r="I47" s="229">
        <v>480</v>
      </c>
    </row>
    <row r="48" spans="1:9" ht="15.6" customHeight="1">
      <c r="A48" s="226" t="s">
        <v>583</v>
      </c>
      <c r="B48" s="226" t="s">
        <v>584</v>
      </c>
      <c r="C48" s="227" t="s">
        <v>413</v>
      </c>
      <c r="D48" s="229">
        <v>40</v>
      </c>
      <c r="F48" s="226" t="s">
        <v>585</v>
      </c>
      <c r="G48" s="226" t="s">
        <v>586</v>
      </c>
      <c r="H48" s="227" t="s">
        <v>410</v>
      </c>
      <c r="I48" s="229">
        <v>480</v>
      </c>
    </row>
    <row r="49" spans="1:9" ht="15.6" customHeight="1">
      <c r="A49" s="226" t="s">
        <v>587</v>
      </c>
      <c r="B49" s="226" t="s">
        <v>588</v>
      </c>
      <c r="C49" s="227" t="s">
        <v>413</v>
      </c>
      <c r="D49" s="229">
        <v>49</v>
      </c>
      <c r="F49" s="226" t="s">
        <v>589</v>
      </c>
      <c r="G49" s="226" t="s">
        <v>590</v>
      </c>
      <c r="H49" s="227" t="s">
        <v>410</v>
      </c>
      <c r="I49" s="229">
        <v>480</v>
      </c>
    </row>
    <row r="50" spans="1:9" ht="15.6" customHeight="1">
      <c r="A50" s="226" t="s">
        <v>591</v>
      </c>
      <c r="B50" s="226" t="s">
        <v>592</v>
      </c>
      <c r="C50" s="227" t="s">
        <v>413</v>
      </c>
      <c r="D50" s="229">
        <v>55</v>
      </c>
      <c r="F50" s="226" t="s">
        <v>593</v>
      </c>
      <c r="G50" s="226" t="s">
        <v>496</v>
      </c>
      <c r="H50" s="227" t="s">
        <v>410</v>
      </c>
      <c r="I50" s="229">
        <v>480</v>
      </c>
    </row>
    <row r="51" spans="1:9" ht="15.6" customHeight="1">
      <c r="A51" s="226" t="s">
        <v>594</v>
      </c>
      <c r="B51" s="226" t="s">
        <v>595</v>
      </c>
      <c r="C51" s="227" t="s">
        <v>413</v>
      </c>
      <c r="D51" s="229">
        <v>60</v>
      </c>
      <c r="F51" s="234"/>
      <c r="G51" s="234"/>
      <c r="H51" s="235"/>
      <c r="I51" s="236"/>
    </row>
    <row r="52" spans="1:9" ht="15.6" customHeight="1">
      <c r="A52" s="226" t="s">
        <v>596</v>
      </c>
      <c r="B52" s="226" t="s">
        <v>597</v>
      </c>
      <c r="C52" s="227" t="s">
        <v>413</v>
      </c>
      <c r="D52" s="229">
        <v>70</v>
      </c>
      <c r="F52" s="234"/>
      <c r="G52" s="234"/>
      <c r="H52" s="235"/>
      <c r="I52" s="236"/>
    </row>
    <row r="53" spans="1:9" ht="15.6" customHeight="1">
      <c r="A53" s="226" t="s">
        <v>598</v>
      </c>
      <c r="B53" s="226" t="s">
        <v>599</v>
      </c>
      <c r="C53" s="227" t="s">
        <v>413</v>
      </c>
      <c r="D53" s="229">
        <v>65</v>
      </c>
      <c r="F53" s="234"/>
      <c r="G53" s="234"/>
      <c r="H53" s="235"/>
      <c r="I53" s="236"/>
    </row>
    <row r="54" spans="1:9" ht="15.6" customHeight="1">
      <c r="A54" s="226" t="s">
        <v>600</v>
      </c>
      <c r="B54" s="226" t="s">
        <v>601</v>
      </c>
      <c r="C54" s="227" t="s">
        <v>413</v>
      </c>
      <c r="D54" s="229">
        <v>80</v>
      </c>
      <c r="F54" s="234"/>
      <c r="G54" s="234"/>
      <c r="H54" s="235"/>
      <c r="I54" s="236"/>
    </row>
    <row r="55" spans="1:9" ht="15.6" customHeight="1">
      <c r="A55" s="226" t="s">
        <v>602</v>
      </c>
      <c r="B55" s="226" t="s">
        <v>603</v>
      </c>
      <c r="C55" s="227" t="s">
        <v>413</v>
      </c>
      <c r="D55" s="229">
        <v>120</v>
      </c>
    </row>
    <row r="56" spans="1:9" ht="15.6" customHeight="1">
      <c r="A56" s="576" t="s">
        <v>604</v>
      </c>
      <c r="B56" s="577"/>
      <c r="C56" s="577"/>
      <c r="D56" s="578"/>
      <c r="F56" s="568" t="s">
        <v>605</v>
      </c>
      <c r="G56" s="568"/>
      <c r="H56" s="568"/>
      <c r="I56" s="568"/>
    </row>
    <row r="57" spans="1:9" ht="15.6" customHeight="1">
      <c r="A57" s="579"/>
      <c r="B57" s="580"/>
      <c r="C57" s="580"/>
      <c r="D57" s="581"/>
      <c r="F57" s="226" t="s">
        <v>606</v>
      </c>
      <c r="G57" s="226" t="s">
        <v>607</v>
      </c>
      <c r="H57" s="227" t="s">
        <v>413</v>
      </c>
      <c r="I57" s="229">
        <v>30</v>
      </c>
    </row>
    <row r="58" spans="1:9" ht="15.6" customHeight="1">
      <c r="A58" s="226" t="s">
        <v>608</v>
      </c>
      <c r="B58" s="226" t="s">
        <v>451</v>
      </c>
      <c r="C58" s="227" t="s">
        <v>410</v>
      </c>
      <c r="D58" s="229">
        <v>310</v>
      </c>
      <c r="F58" s="226" t="s">
        <v>609</v>
      </c>
      <c r="G58" s="226" t="s">
        <v>610</v>
      </c>
      <c r="H58" s="227" t="s">
        <v>413</v>
      </c>
      <c r="I58" s="229">
        <v>35</v>
      </c>
    </row>
    <row r="59" spans="1:9" ht="15.6" customHeight="1">
      <c r="A59" s="226" t="s">
        <v>611</v>
      </c>
      <c r="B59" s="226" t="s">
        <v>454</v>
      </c>
      <c r="C59" s="227" t="s">
        <v>410</v>
      </c>
      <c r="D59" s="229">
        <v>310</v>
      </c>
      <c r="F59" s="226" t="s">
        <v>612</v>
      </c>
      <c r="G59" s="226" t="s">
        <v>613</v>
      </c>
      <c r="H59" s="227" t="s">
        <v>413</v>
      </c>
      <c r="I59" s="229">
        <v>55</v>
      </c>
    </row>
    <row r="60" spans="1:9" ht="15.6" customHeight="1">
      <c r="A60" s="226" t="s">
        <v>614</v>
      </c>
      <c r="B60" s="226" t="s">
        <v>458</v>
      </c>
      <c r="C60" s="227" t="s">
        <v>410</v>
      </c>
      <c r="D60" s="229">
        <v>310</v>
      </c>
      <c r="F60" s="226" t="s">
        <v>615</v>
      </c>
      <c r="G60" s="226" t="s">
        <v>616</v>
      </c>
      <c r="H60" s="227" t="s">
        <v>413</v>
      </c>
      <c r="I60" s="229">
        <v>75</v>
      </c>
    </row>
    <row r="61" spans="1:9" ht="15.6" customHeight="1">
      <c r="A61" s="226" t="s">
        <v>617</v>
      </c>
      <c r="B61" s="226" t="s">
        <v>618</v>
      </c>
      <c r="C61" s="227" t="s">
        <v>410</v>
      </c>
      <c r="D61" s="229">
        <v>310</v>
      </c>
      <c r="F61" s="226" t="s">
        <v>619</v>
      </c>
      <c r="G61" s="226" t="s">
        <v>620</v>
      </c>
      <c r="H61" s="227" t="s">
        <v>413</v>
      </c>
      <c r="I61" s="229">
        <v>120</v>
      </c>
    </row>
    <row r="62" spans="1:9" ht="15.6" customHeight="1">
      <c r="A62" s="226" t="s">
        <v>621</v>
      </c>
      <c r="B62" s="226" t="s">
        <v>466</v>
      </c>
      <c r="C62" s="227" t="s">
        <v>410</v>
      </c>
      <c r="D62" s="229">
        <v>310</v>
      </c>
      <c r="F62" s="226" t="s">
        <v>622</v>
      </c>
      <c r="G62" s="226" t="s">
        <v>623</v>
      </c>
      <c r="H62" s="227" t="s">
        <v>413</v>
      </c>
      <c r="I62" s="229">
        <v>150</v>
      </c>
    </row>
    <row r="63" spans="1:9" ht="15.6" customHeight="1">
      <c r="A63" s="226" t="s">
        <v>624</v>
      </c>
      <c r="B63" s="226" t="s">
        <v>470</v>
      </c>
      <c r="C63" s="227" t="s">
        <v>410</v>
      </c>
      <c r="D63" s="229">
        <v>310</v>
      </c>
      <c r="F63" s="226" t="s">
        <v>625</v>
      </c>
      <c r="G63" s="226" t="s">
        <v>626</v>
      </c>
      <c r="H63" s="227" t="s">
        <v>413</v>
      </c>
      <c r="I63" s="229">
        <v>170</v>
      </c>
    </row>
    <row r="64" spans="1:9" ht="15.6" customHeight="1">
      <c r="A64" s="226" t="s">
        <v>627</v>
      </c>
      <c r="B64" s="226" t="s">
        <v>474</v>
      </c>
      <c r="C64" s="227" t="s">
        <v>410</v>
      </c>
      <c r="D64" s="229">
        <v>310</v>
      </c>
      <c r="F64" s="568" t="s">
        <v>628</v>
      </c>
      <c r="G64" s="568"/>
      <c r="H64" s="568"/>
      <c r="I64" s="568"/>
    </row>
    <row r="65" spans="1:9" ht="15.6" customHeight="1">
      <c r="A65" s="226" t="s">
        <v>629</v>
      </c>
      <c r="B65" s="226" t="s">
        <v>478</v>
      </c>
      <c r="C65" s="227" t="s">
        <v>410</v>
      </c>
      <c r="D65" s="229">
        <v>310</v>
      </c>
      <c r="F65" s="570" t="s">
        <v>630</v>
      </c>
      <c r="G65" s="570" t="s">
        <v>631</v>
      </c>
      <c r="H65" s="572" t="s">
        <v>413</v>
      </c>
      <c r="I65" s="574">
        <v>760</v>
      </c>
    </row>
    <row r="66" spans="1:9" ht="15.6" customHeight="1">
      <c r="A66" s="226" t="s">
        <v>632</v>
      </c>
      <c r="B66" s="226" t="s">
        <v>482</v>
      </c>
      <c r="C66" s="227" t="s">
        <v>410</v>
      </c>
      <c r="D66" s="229">
        <v>310</v>
      </c>
      <c r="F66" s="571"/>
      <c r="G66" s="571"/>
      <c r="H66" s="573"/>
      <c r="I66" s="575"/>
    </row>
    <row r="67" spans="1:9" ht="15.6" customHeight="1">
      <c r="A67" s="226" t="s">
        <v>633</v>
      </c>
      <c r="B67" s="226" t="s">
        <v>486</v>
      </c>
      <c r="C67" s="227" t="s">
        <v>410</v>
      </c>
      <c r="D67" s="229">
        <v>310</v>
      </c>
      <c r="F67" s="570" t="s">
        <v>634</v>
      </c>
      <c r="G67" s="570" t="s">
        <v>635</v>
      </c>
      <c r="H67" s="572" t="s">
        <v>413</v>
      </c>
      <c r="I67" s="574">
        <v>350</v>
      </c>
    </row>
    <row r="68" spans="1:9" ht="15.6" customHeight="1">
      <c r="A68" s="226" t="s">
        <v>636</v>
      </c>
      <c r="B68" s="226" t="s">
        <v>637</v>
      </c>
      <c r="C68" s="227" t="s">
        <v>410</v>
      </c>
      <c r="D68" s="229">
        <v>310</v>
      </c>
      <c r="F68" s="571"/>
      <c r="G68" s="571"/>
      <c r="H68" s="573"/>
      <c r="I68" s="575"/>
    </row>
    <row r="69" spans="1:9" ht="15.6" customHeight="1">
      <c r="A69" s="226" t="s">
        <v>638</v>
      </c>
      <c r="B69" s="226" t="s">
        <v>639</v>
      </c>
      <c r="C69" s="227" t="s">
        <v>410</v>
      </c>
      <c r="D69" s="229">
        <v>310</v>
      </c>
      <c r="F69" s="570" t="s">
        <v>640</v>
      </c>
      <c r="G69" s="570" t="s">
        <v>641</v>
      </c>
      <c r="H69" s="572" t="s">
        <v>413</v>
      </c>
      <c r="I69" s="574">
        <v>200</v>
      </c>
    </row>
    <row r="70" spans="1:9" ht="15.6" customHeight="1">
      <c r="A70" s="226" t="s">
        <v>642</v>
      </c>
      <c r="B70" s="226" t="s">
        <v>490</v>
      </c>
      <c r="C70" s="227" t="s">
        <v>410</v>
      </c>
      <c r="D70" s="229">
        <v>310</v>
      </c>
      <c r="F70" s="571"/>
      <c r="G70" s="571"/>
      <c r="H70" s="573"/>
      <c r="I70" s="575"/>
    </row>
    <row r="71" spans="1:9" ht="15.6" customHeight="1">
      <c r="A71" s="226" t="s">
        <v>643</v>
      </c>
      <c r="B71" s="226" t="s">
        <v>494</v>
      </c>
      <c r="C71" s="227" t="s">
        <v>410</v>
      </c>
      <c r="D71" s="229">
        <v>310</v>
      </c>
      <c r="F71" s="570" t="s">
        <v>644</v>
      </c>
      <c r="G71" s="570" t="s">
        <v>645</v>
      </c>
      <c r="H71" s="572" t="s">
        <v>413</v>
      </c>
      <c r="I71" s="574">
        <v>600</v>
      </c>
    </row>
    <row r="72" spans="1:9" ht="15.6" customHeight="1">
      <c r="A72" s="226" t="s">
        <v>646</v>
      </c>
      <c r="B72" s="226" t="s">
        <v>647</v>
      </c>
      <c r="C72" s="227" t="s">
        <v>410</v>
      </c>
      <c r="D72" s="229">
        <v>310</v>
      </c>
      <c r="F72" s="571"/>
      <c r="G72" s="571"/>
      <c r="H72" s="573"/>
      <c r="I72" s="575"/>
    </row>
    <row r="73" spans="1:9" ht="15.6" customHeight="1">
      <c r="A73" s="226" t="s">
        <v>648</v>
      </c>
      <c r="B73" s="226" t="s">
        <v>488</v>
      </c>
      <c r="C73" s="227" t="s">
        <v>410</v>
      </c>
      <c r="D73" s="229">
        <v>310</v>
      </c>
      <c r="F73" s="570" t="s">
        <v>649</v>
      </c>
      <c r="G73" s="570" t="s">
        <v>650</v>
      </c>
      <c r="H73" s="572" t="s">
        <v>413</v>
      </c>
      <c r="I73" s="574">
        <v>250</v>
      </c>
    </row>
    <row r="74" spans="1:9" ht="15.6" customHeight="1">
      <c r="A74" s="226" t="s">
        <v>651</v>
      </c>
      <c r="B74" s="226" t="s">
        <v>652</v>
      </c>
      <c r="C74" s="227" t="s">
        <v>410</v>
      </c>
      <c r="D74" s="229">
        <v>310</v>
      </c>
      <c r="F74" s="571"/>
      <c r="G74" s="571"/>
      <c r="H74" s="573"/>
      <c r="I74" s="575"/>
    </row>
    <row r="75" spans="1:9" ht="15.6" customHeight="1">
      <c r="A75" s="226" t="s">
        <v>653</v>
      </c>
      <c r="B75" s="226" t="s">
        <v>654</v>
      </c>
      <c r="C75" s="227" t="s">
        <v>410</v>
      </c>
      <c r="D75" s="229">
        <v>310</v>
      </c>
      <c r="F75" s="568" t="s">
        <v>655</v>
      </c>
      <c r="G75" s="568"/>
      <c r="H75" s="568"/>
      <c r="I75" s="568"/>
    </row>
    <row r="76" spans="1:9" ht="15.6" customHeight="1">
      <c r="A76" s="569" t="s">
        <v>656</v>
      </c>
      <c r="B76" s="569"/>
      <c r="C76" s="569"/>
      <c r="D76" s="569"/>
      <c r="F76" s="226" t="s">
        <v>657</v>
      </c>
      <c r="G76" s="226" t="s">
        <v>658</v>
      </c>
      <c r="H76" s="227" t="s">
        <v>413</v>
      </c>
      <c r="I76" s="229">
        <v>35</v>
      </c>
    </row>
    <row r="77" spans="1:9" ht="15.6" customHeight="1">
      <c r="A77" s="226" t="s">
        <v>659</v>
      </c>
      <c r="B77" s="226" t="s">
        <v>660</v>
      </c>
      <c r="C77" s="227" t="s">
        <v>413</v>
      </c>
      <c r="D77" s="229">
        <v>25</v>
      </c>
      <c r="F77" s="226" t="s">
        <v>661</v>
      </c>
      <c r="G77" s="226" t="s">
        <v>662</v>
      </c>
      <c r="H77" s="227" t="s">
        <v>413</v>
      </c>
      <c r="I77" s="229">
        <v>33</v>
      </c>
    </row>
    <row r="78" spans="1:9" ht="15.6" customHeight="1">
      <c r="A78" s="226" t="s">
        <v>663</v>
      </c>
      <c r="B78" s="226" t="s">
        <v>664</v>
      </c>
      <c r="C78" s="227" t="s">
        <v>413</v>
      </c>
      <c r="D78" s="229">
        <v>60</v>
      </c>
      <c r="F78" s="226" t="s">
        <v>665</v>
      </c>
      <c r="G78" s="226" t="s">
        <v>666</v>
      </c>
      <c r="H78" s="227" t="s">
        <v>413</v>
      </c>
      <c r="I78" s="229">
        <v>35</v>
      </c>
    </row>
    <row r="79" spans="1:9" ht="15.6" customHeight="1">
      <c r="A79" s="226" t="s">
        <v>667</v>
      </c>
      <c r="B79" s="226" t="s">
        <v>668</v>
      </c>
      <c r="C79" s="227" t="s">
        <v>413</v>
      </c>
      <c r="D79" s="229">
        <v>50</v>
      </c>
      <c r="F79" s="226" t="s">
        <v>669</v>
      </c>
      <c r="G79" s="226" t="s">
        <v>670</v>
      </c>
      <c r="H79" s="227" t="s">
        <v>413</v>
      </c>
      <c r="I79" s="229">
        <v>40</v>
      </c>
    </row>
    <row r="80" spans="1:9" ht="15.6" customHeight="1">
      <c r="A80" s="226" t="s">
        <v>671</v>
      </c>
      <c r="B80" s="226" t="s">
        <v>672</v>
      </c>
      <c r="C80" s="227" t="s">
        <v>413</v>
      </c>
      <c r="D80" s="229">
        <v>80</v>
      </c>
      <c r="F80" s="226" t="s">
        <v>673</v>
      </c>
      <c r="G80" s="226" t="s">
        <v>674</v>
      </c>
      <c r="H80" s="227" t="s">
        <v>413</v>
      </c>
      <c r="I80" s="229">
        <v>45</v>
      </c>
    </row>
    <row r="81" spans="1:9" ht="15.6" customHeight="1">
      <c r="A81" s="226" t="s">
        <v>675</v>
      </c>
      <c r="B81" s="226" t="s">
        <v>676</v>
      </c>
      <c r="C81" s="227" t="s">
        <v>413</v>
      </c>
      <c r="D81" s="229">
        <v>120</v>
      </c>
      <c r="F81" s="226" t="s">
        <v>677</v>
      </c>
      <c r="G81" s="226" t="s">
        <v>678</v>
      </c>
      <c r="H81" s="227" t="s">
        <v>413</v>
      </c>
      <c r="I81" s="229">
        <v>50</v>
      </c>
    </row>
    <row r="82" spans="1:9" ht="15.6" customHeight="1">
      <c r="A82" s="226" t="s">
        <v>679</v>
      </c>
      <c r="B82" s="226" t="s">
        <v>680</v>
      </c>
      <c r="C82" s="227" t="s">
        <v>413</v>
      </c>
      <c r="D82" s="229">
        <v>160</v>
      </c>
      <c r="F82" s="226" t="s">
        <v>681</v>
      </c>
      <c r="G82" s="226" t="s">
        <v>682</v>
      </c>
      <c r="H82" s="227" t="s">
        <v>413</v>
      </c>
      <c r="I82" s="229">
        <v>55</v>
      </c>
    </row>
    <row r="83" spans="1:9" ht="15.6" customHeight="1">
      <c r="A83" s="226" t="s">
        <v>683</v>
      </c>
      <c r="B83" s="226" t="s">
        <v>684</v>
      </c>
      <c r="C83" s="227" t="s">
        <v>413</v>
      </c>
      <c r="D83" s="229">
        <v>230</v>
      </c>
      <c r="F83" s="226" t="s">
        <v>685</v>
      </c>
      <c r="G83" s="226" t="s">
        <v>686</v>
      </c>
      <c r="H83" s="227" t="s">
        <v>413</v>
      </c>
      <c r="I83" s="229">
        <v>60</v>
      </c>
    </row>
    <row r="84" spans="1:9" ht="15.6" customHeight="1">
      <c r="A84" s="568" t="s">
        <v>687</v>
      </c>
      <c r="B84" s="568"/>
      <c r="C84" s="568"/>
      <c r="D84" s="568"/>
      <c r="F84" s="226" t="s">
        <v>688</v>
      </c>
      <c r="G84" s="226" t="s">
        <v>689</v>
      </c>
      <c r="H84" s="227" t="s">
        <v>413</v>
      </c>
      <c r="I84" s="229">
        <v>65</v>
      </c>
    </row>
    <row r="85" spans="1:9" ht="15.6" customHeight="1">
      <c r="A85" s="226" t="s">
        <v>690</v>
      </c>
      <c r="B85" s="226" t="s">
        <v>691</v>
      </c>
      <c r="C85" s="227" t="s">
        <v>413</v>
      </c>
      <c r="D85" s="229">
        <v>20</v>
      </c>
    </row>
    <row r="86" spans="1:9" ht="15.6" customHeight="1">
      <c r="A86" s="226" t="s">
        <v>692</v>
      </c>
      <c r="B86" s="226" t="s">
        <v>693</v>
      </c>
      <c r="C86" s="227" t="s">
        <v>413</v>
      </c>
      <c r="D86" s="229">
        <v>15</v>
      </c>
    </row>
    <row r="87" spans="1:9" ht="15.6" customHeight="1">
      <c r="A87" s="226" t="s">
        <v>694</v>
      </c>
      <c r="B87" s="226" t="s">
        <v>695</v>
      </c>
      <c r="C87" s="227" t="s">
        <v>413</v>
      </c>
      <c r="D87" s="229">
        <v>25</v>
      </c>
    </row>
    <row r="88" spans="1:9" ht="15.6" customHeight="1">
      <c r="A88" s="226" t="s">
        <v>696</v>
      </c>
      <c r="B88" s="226" t="s">
        <v>697</v>
      </c>
      <c r="C88" s="227" t="s">
        <v>413</v>
      </c>
      <c r="D88" s="229">
        <v>35</v>
      </c>
    </row>
    <row r="89" spans="1:9" ht="15.6" customHeight="1">
      <c r="A89" s="568" t="s">
        <v>698</v>
      </c>
      <c r="B89" s="568"/>
      <c r="C89" s="568"/>
      <c r="D89" s="568"/>
    </row>
    <row r="90" spans="1:9" ht="15.6" customHeight="1">
      <c r="A90" s="226" t="s">
        <v>699</v>
      </c>
      <c r="B90" s="226" t="s">
        <v>660</v>
      </c>
      <c r="C90" s="227" t="s">
        <v>413</v>
      </c>
      <c r="D90" s="229">
        <v>20</v>
      </c>
    </row>
    <row r="91" spans="1:9" ht="15.6" customHeight="1">
      <c r="A91" s="226" t="s">
        <v>700</v>
      </c>
      <c r="B91" s="226" t="s">
        <v>664</v>
      </c>
      <c r="C91" s="227" t="s">
        <v>413</v>
      </c>
      <c r="D91" s="229">
        <v>50</v>
      </c>
    </row>
    <row r="92" spans="1:9" ht="15.6" customHeight="1">
      <c r="A92" s="226" t="s">
        <v>701</v>
      </c>
      <c r="B92" s="226" t="s">
        <v>668</v>
      </c>
      <c r="C92" s="227" t="s">
        <v>413</v>
      </c>
      <c r="D92" s="229">
        <v>45</v>
      </c>
    </row>
    <row r="93" spans="1:9" ht="15.6" customHeight="1">
      <c r="A93" s="226" t="s">
        <v>702</v>
      </c>
      <c r="B93" s="226" t="s">
        <v>672</v>
      </c>
      <c r="C93" s="227" t="s">
        <v>413</v>
      </c>
      <c r="D93" s="229">
        <v>70</v>
      </c>
    </row>
    <row r="94" spans="1:9" ht="15.6" customHeight="1">
      <c r="A94" s="226" t="s">
        <v>703</v>
      </c>
      <c r="B94" s="226" t="s">
        <v>676</v>
      </c>
      <c r="C94" s="227" t="s">
        <v>413</v>
      </c>
      <c r="D94" s="229">
        <v>110</v>
      </c>
    </row>
    <row r="95" spans="1:9" ht="15.6" customHeight="1">
      <c r="A95" s="569" t="s">
        <v>704</v>
      </c>
      <c r="B95" s="569"/>
      <c r="C95" s="569"/>
      <c r="D95" s="569"/>
    </row>
    <row r="96" spans="1:9" ht="15.6" customHeight="1">
      <c r="A96" s="226" t="s">
        <v>705</v>
      </c>
      <c r="B96" s="226" t="s">
        <v>706</v>
      </c>
      <c r="C96" s="227" t="s">
        <v>413</v>
      </c>
      <c r="D96" s="229">
        <v>130</v>
      </c>
    </row>
    <row r="97" spans="1:4" ht="15.6" customHeight="1">
      <c r="A97" s="226" t="s">
        <v>707</v>
      </c>
      <c r="B97" s="226" t="s">
        <v>708</v>
      </c>
      <c r="C97" s="227" t="s">
        <v>413</v>
      </c>
      <c r="D97" s="229">
        <v>140</v>
      </c>
    </row>
    <row r="98" spans="1:4" ht="15.6" customHeight="1">
      <c r="A98" s="226" t="s">
        <v>709</v>
      </c>
      <c r="B98" s="226" t="s">
        <v>710</v>
      </c>
      <c r="C98" s="227" t="s">
        <v>413</v>
      </c>
      <c r="D98" s="229">
        <v>150</v>
      </c>
    </row>
    <row r="99" spans="1:4" ht="15.6" customHeight="1">
      <c r="A99" s="226" t="s">
        <v>711</v>
      </c>
      <c r="B99" s="226" t="s">
        <v>712</v>
      </c>
      <c r="C99" s="227" t="s">
        <v>413</v>
      </c>
      <c r="D99" s="229">
        <v>180</v>
      </c>
    </row>
    <row r="100" spans="1:4" ht="15.6" customHeight="1">
      <c r="A100" s="226" t="s">
        <v>713</v>
      </c>
      <c r="B100" s="226" t="s">
        <v>714</v>
      </c>
      <c r="C100" s="227" t="s">
        <v>413</v>
      </c>
      <c r="D100" s="229">
        <v>200</v>
      </c>
    </row>
    <row r="101" spans="1:4" ht="15.6" customHeight="1">
      <c r="A101" s="226" t="s">
        <v>715</v>
      </c>
      <c r="B101" s="226" t="s">
        <v>716</v>
      </c>
      <c r="C101" s="227" t="s">
        <v>413</v>
      </c>
      <c r="D101" s="229">
        <v>200</v>
      </c>
    </row>
    <row r="102" spans="1:4" ht="15.6" customHeight="1">
      <c r="A102" s="226" t="s">
        <v>717</v>
      </c>
      <c r="B102" s="226" t="s">
        <v>718</v>
      </c>
      <c r="C102" s="227" t="s">
        <v>413</v>
      </c>
      <c r="D102" s="229">
        <v>150</v>
      </c>
    </row>
    <row r="103" spans="1:4" ht="15.6" customHeight="1">
      <c r="A103" s="226" t="s">
        <v>719</v>
      </c>
      <c r="B103" s="226" t="s">
        <v>620</v>
      </c>
      <c r="C103" s="227" t="s">
        <v>413</v>
      </c>
      <c r="D103" s="229">
        <v>200</v>
      </c>
    </row>
    <row r="104" spans="1:4" ht="15.6" customHeight="1">
      <c r="A104" s="226" t="s">
        <v>720</v>
      </c>
      <c r="B104" s="226" t="s">
        <v>721</v>
      </c>
      <c r="C104" s="227" t="s">
        <v>413</v>
      </c>
      <c r="D104" s="229">
        <v>240</v>
      </c>
    </row>
    <row r="105" spans="1:4" ht="15.6" customHeight="1"/>
    <row r="106" spans="1:4" ht="16.899999999999999" customHeight="1"/>
    <row r="107" spans="1:4" ht="16.899999999999999" customHeight="1"/>
    <row r="108" spans="1:4" ht="16.899999999999999" customHeight="1"/>
    <row r="109" spans="1:4" ht="16.899999999999999" customHeight="1"/>
    <row r="110" spans="1:4" ht="16.899999999999999" customHeight="1"/>
    <row r="111" spans="1:4" ht="16.899999999999999" customHeight="1"/>
    <row r="112" spans="1:4" ht="16.899999999999999" customHeight="1"/>
    <row r="113" ht="16.899999999999999" customHeight="1"/>
    <row r="114" ht="16.899999999999999" customHeight="1"/>
    <row r="115" ht="16.899999999999999" customHeight="1"/>
    <row r="116" ht="16.899999999999999" customHeight="1"/>
    <row r="117" ht="16.899999999999999" customHeight="1"/>
    <row r="118" ht="16.899999999999999" customHeight="1"/>
    <row r="119" ht="16.899999999999999" customHeight="1"/>
    <row r="120" ht="16.899999999999999" customHeight="1"/>
    <row r="121" ht="16.899999999999999" customHeight="1"/>
    <row r="122" ht="16.899999999999999" customHeight="1"/>
    <row r="123" ht="16.899999999999999" customHeight="1"/>
  </sheetData>
  <mergeCells count="36">
    <mergeCell ref="A56:D57"/>
    <mergeCell ref="F71:F72"/>
    <mergeCell ref="G71:G72"/>
    <mergeCell ref="H71:H72"/>
    <mergeCell ref="I71:I72"/>
    <mergeCell ref="F56:I56"/>
    <mergeCell ref="F64:I64"/>
    <mergeCell ref="F73:F74"/>
    <mergeCell ref="G73:G74"/>
    <mergeCell ref="H73:H74"/>
    <mergeCell ref="I73:I74"/>
    <mergeCell ref="A89:D89"/>
    <mergeCell ref="A95:D95"/>
    <mergeCell ref="G65:G66"/>
    <mergeCell ref="H65:H66"/>
    <mergeCell ref="I65:I66"/>
    <mergeCell ref="F65:F66"/>
    <mergeCell ref="G67:G68"/>
    <mergeCell ref="F67:F68"/>
    <mergeCell ref="H67:H68"/>
    <mergeCell ref="I67:I68"/>
    <mergeCell ref="F75:I75"/>
    <mergeCell ref="A76:D76"/>
    <mergeCell ref="A84:D84"/>
    <mergeCell ref="I69:I70"/>
    <mergeCell ref="H69:H70"/>
    <mergeCell ref="G69:G70"/>
    <mergeCell ref="F69:F70"/>
    <mergeCell ref="F1:I1"/>
    <mergeCell ref="F6:I6"/>
    <mergeCell ref="F11:I11"/>
    <mergeCell ref="F30:I30"/>
    <mergeCell ref="A27:D27"/>
    <mergeCell ref="A13:D13"/>
    <mergeCell ref="A7:D7"/>
    <mergeCell ref="A1:D1"/>
  </mergeCells>
  <phoneticPr fontId="3" type="noConversion"/>
  <pageMargins left="0.98" right="0.34" top="0.17" bottom="0.28999999999999998" header="0.2" footer="0.17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4:J26"/>
  <sheetViews>
    <sheetView zoomScale="70" zoomScaleNormal="70" zoomScaleSheetLayoutView="70" workbookViewId="0">
      <selection activeCell="E12" sqref="E12:G12"/>
    </sheetView>
  </sheetViews>
  <sheetFormatPr defaultColWidth="9.140625" defaultRowHeight="20.25"/>
  <cols>
    <col min="1" max="1" width="4.7109375" style="6" customWidth="1"/>
    <col min="2" max="2" width="18" style="6" customWidth="1"/>
    <col min="3" max="3" width="11.7109375" style="6" customWidth="1"/>
    <col min="4" max="4" width="12.42578125" style="6" customWidth="1"/>
    <col min="5" max="5" width="93.7109375" style="7" customWidth="1"/>
    <col min="6" max="6" width="36.28515625" style="6" customWidth="1"/>
    <col min="7" max="7" width="12.85546875" style="6" customWidth="1"/>
    <col min="8" max="8" width="7.7109375" style="6" customWidth="1"/>
    <col min="9" max="9" width="14.5703125" style="6" customWidth="1"/>
    <col min="10" max="10" width="13.28515625" style="6" customWidth="1"/>
    <col min="11" max="16384" width="9.140625" style="6"/>
  </cols>
  <sheetData>
    <row r="4" spans="2:10" ht="32.450000000000003" customHeight="1">
      <c r="B4" s="592" t="s">
        <v>126</v>
      </c>
      <c r="C4" s="592"/>
      <c r="D4" s="592"/>
      <c r="E4" s="592"/>
      <c r="F4" s="592"/>
      <c r="G4" s="592"/>
      <c r="H4" s="592"/>
      <c r="I4" s="592"/>
    </row>
    <row r="5" spans="2:10" ht="32.450000000000003" customHeight="1">
      <c r="B5" s="594" t="s">
        <v>1</v>
      </c>
      <c r="C5" s="594"/>
      <c r="D5" s="594"/>
      <c r="E5" s="594"/>
      <c r="F5" s="594"/>
      <c r="G5" s="594"/>
      <c r="H5" s="594"/>
      <c r="I5" s="594"/>
    </row>
    <row r="6" spans="2:10" ht="32.450000000000003" customHeight="1">
      <c r="B6" s="592" t="s">
        <v>2</v>
      </c>
      <c r="C6" s="592"/>
      <c r="D6" s="592"/>
      <c r="E6" s="592"/>
      <c r="F6" s="592"/>
      <c r="G6" s="592"/>
      <c r="H6" s="592"/>
      <c r="I6" s="592"/>
    </row>
    <row r="7" spans="2:10" ht="32.450000000000003" customHeight="1">
      <c r="B7" s="592" t="s">
        <v>249</v>
      </c>
      <c r="C7" s="592"/>
      <c r="D7" s="592"/>
      <c r="E7" s="592"/>
      <c r="F7" s="592"/>
      <c r="G7" s="592"/>
      <c r="H7" s="592"/>
      <c r="I7" s="592"/>
    </row>
    <row r="8" spans="2:10" ht="32.450000000000003" customHeight="1">
      <c r="B8" s="592" t="s">
        <v>830</v>
      </c>
      <c r="C8" s="592"/>
      <c r="D8" s="592"/>
      <c r="E8" s="592"/>
      <c r="F8" s="592"/>
      <c r="G8" s="592"/>
      <c r="H8" s="592"/>
      <c r="I8" s="592"/>
    </row>
    <row r="9" spans="2:10" ht="32.450000000000003" customHeight="1">
      <c r="B9" s="592" t="s">
        <v>50</v>
      </c>
      <c r="C9" s="592"/>
      <c r="D9" s="592"/>
      <c r="E9" s="592"/>
      <c r="F9" s="592"/>
      <c r="G9" s="592"/>
      <c r="H9" s="592"/>
      <c r="I9" s="592"/>
    </row>
    <row r="10" spans="2:10">
      <c r="E10" s="253"/>
      <c r="H10" s="10"/>
    </row>
    <row r="11" spans="2:10" ht="21" customHeight="1">
      <c r="E11" s="253"/>
      <c r="H11" s="10"/>
    </row>
    <row r="12" spans="2:10" ht="39" customHeight="1">
      <c r="E12" s="595"/>
      <c r="F12" s="595"/>
      <c r="G12" s="595"/>
      <c r="H12" s="270"/>
      <c r="I12" s="270"/>
      <c r="J12" s="269"/>
    </row>
    <row r="13" spans="2:10" ht="27.6" customHeight="1">
      <c r="E13" s="253"/>
      <c r="F13" s="269"/>
      <c r="G13" s="269"/>
      <c r="H13" s="269"/>
      <c r="I13" s="269"/>
      <c r="J13" s="269"/>
    </row>
    <row r="14" spans="2:10" ht="45">
      <c r="B14" s="593" t="s">
        <v>250</v>
      </c>
      <c r="C14" s="593"/>
      <c r="D14" s="593"/>
      <c r="E14" s="593"/>
      <c r="F14" s="593"/>
      <c r="G14" s="593"/>
      <c r="H14" s="593"/>
      <c r="I14" s="593"/>
    </row>
    <row r="15" spans="2:10" ht="22.5">
      <c r="E15" s="6"/>
      <c r="F15" s="24"/>
      <c r="H15" s="10"/>
    </row>
    <row r="16" spans="2:10" ht="22.5">
      <c r="D16" s="591" t="s">
        <v>831</v>
      </c>
      <c r="E16" s="591"/>
      <c r="F16" s="591"/>
      <c r="H16" s="10"/>
    </row>
    <row r="17" spans="3:8">
      <c r="E17" s="253"/>
      <c r="H17" s="10"/>
    </row>
    <row r="18" spans="3:8" ht="21" customHeight="1">
      <c r="C18" s="461"/>
      <c r="D18" s="461"/>
      <c r="E18" s="461"/>
      <c r="F18" s="461"/>
      <c r="G18" s="461"/>
      <c r="H18" s="10"/>
    </row>
    <row r="19" spans="3:8">
      <c r="E19" s="253"/>
      <c r="H19" s="10"/>
    </row>
    <row r="20" spans="3:8" s="37" customFormat="1" ht="33.6" customHeight="1">
      <c r="E20" s="39"/>
      <c r="F20" s="38"/>
      <c r="G20" s="40"/>
    </row>
    <row r="21" spans="3:8" s="37" customFormat="1" ht="41.25" thickBot="1">
      <c r="E21" s="41"/>
      <c r="F21" s="454" t="s">
        <v>816</v>
      </c>
      <c r="G21" s="38"/>
    </row>
    <row r="22" spans="3:8" s="37" customFormat="1" ht="122.25" thickBot="1">
      <c r="D22" s="582" t="s">
        <v>750</v>
      </c>
      <c r="E22" s="583"/>
      <c r="F22" s="457" t="s">
        <v>251</v>
      </c>
      <c r="G22" s="190"/>
    </row>
    <row r="23" spans="3:8" s="37" customFormat="1" ht="55.5" hidden="1" customHeight="1">
      <c r="D23" s="459"/>
      <c r="E23" s="460"/>
      <c r="F23" s="59"/>
      <c r="G23" s="191"/>
    </row>
    <row r="24" spans="3:8" s="37" customFormat="1" ht="55.5" customHeight="1">
      <c r="D24" s="584" t="s">
        <v>803</v>
      </c>
      <c r="E24" s="585"/>
      <c r="F24" s="59">
        <v>650</v>
      </c>
      <c r="G24" s="191"/>
    </row>
    <row r="25" spans="3:8" s="37" customFormat="1" ht="51" customHeight="1" thickBot="1">
      <c r="D25" s="586" t="s">
        <v>751</v>
      </c>
      <c r="E25" s="587"/>
      <c r="F25" s="458">
        <v>820</v>
      </c>
      <c r="G25" s="191"/>
    </row>
    <row r="26" spans="3:8" ht="21" thickBot="1">
      <c r="D26" s="588" t="s">
        <v>732</v>
      </c>
      <c r="E26" s="589"/>
      <c r="F26" s="590"/>
      <c r="G26" s="192"/>
    </row>
  </sheetData>
  <mergeCells count="13">
    <mergeCell ref="B4:I4"/>
    <mergeCell ref="B14:I14"/>
    <mergeCell ref="B5:I5"/>
    <mergeCell ref="B6:I6"/>
    <mergeCell ref="B7:I7"/>
    <mergeCell ref="B8:I8"/>
    <mergeCell ref="B9:I9"/>
    <mergeCell ref="E12:G12"/>
    <mergeCell ref="D22:E22"/>
    <mergeCell ref="D24:E24"/>
    <mergeCell ref="D25:E25"/>
    <mergeCell ref="D26:F26"/>
    <mergeCell ref="D16:F16"/>
  </mergeCells>
  <pageMargins left="0.24" right="0.16" top="0.41" bottom="0.3" header="0.17" footer="0.17"/>
  <pageSetup paperSize="9" scale="5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4"/>
  <sheetViews>
    <sheetView workbookViewId="0">
      <selection activeCell="J11" sqref="J11"/>
    </sheetView>
  </sheetViews>
  <sheetFormatPr defaultRowHeight="12.75"/>
  <cols>
    <col min="1" max="1" width="12.28515625" customWidth="1"/>
    <col min="2" max="2" width="47.42578125" customWidth="1"/>
    <col min="3" max="3" width="22.140625" style="9" customWidth="1"/>
    <col min="4" max="4" width="23" style="22" customWidth="1"/>
    <col min="5" max="5" width="22.85546875" customWidth="1"/>
    <col min="6" max="6" width="6.140625" hidden="1" customWidth="1"/>
  </cols>
  <sheetData>
    <row r="1" spans="2:5" ht="18" customHeight="1">
      <c r="B1" s="497" t="s">
        <v>0</v>
      </c>
      <c r="C1" s="497"/>
      <c r="D1" s="497"/>
      <c r="E1" s="497"/>
    </row>
    <row r="2" spans="2:5" ht="18" customHeight="1">
      <c r="B2" s="497" t="s">
        <v>1</v>
      </c>
      <c r="C2" s="497"/>
      <c r="D2" s="497"/>
      <c r="E2" s="497"/>
    </row>
    <row r="3" spans="2:5" ht="18" customHeight="1">
      <c r="B3" s="497" t="s">
        <v>2</v>
      </c>
      <c r="C3" s="497"/>
      <c r="D3" s="497"/>
      <c r="E3" s="497"/>
    </row>
    <row r="4" spans="2:5" ht="18" customHeight="1">
      <c r="B4" s="487" t="s">
        <v>3</v>
      </c>
      <c r="C4" s="487"/>
      <c r="D4" s="487"/>
      <c r="E4" s="487"/>
    </row>
    <row r="5" spans="2:5" ht="18" customHeight="1">
      <c r="B5" s="497" t="s">
        <v>830</v>
      </c>
      <c r="C5" s="497"/>
      <c r="D5" s="497"/>
      <c r="E5" s="497"/>
    </row>
    <row r="6" spans="2:5" s="2" customFormat="1" ht="18" customHeight="1">
      <c r="B6" s="497" t="s">
        <v>50</v>
      </c>
      <c r="C6" s="497"/>
      <c r="D6" s="497"/>
      <c r="E6" s="497"/>
    </row>
    <row r="7" spans="2:5" s="2" customFormat="1" ht="11.25" customHeight="1">
      <c r="B7" s="14"/>
      <c r="C7" s="14"/>
      <c r="D7" s="14"/>
      <c r="E7" s="14"/>
    </row>
    <row r="8" spans="2:5" s="2" customFormat="1" ht="34.9" customHeight="1">
      <c r="B8" s="498" t="s">
        <v>51</v>
      </c>
      <c r="C8" s="498"/>
      <c r="D8" s="498"/>
      <c r="E8" s="498"/>
    </row>
    <row r="9" spans="2:5" s="2" customFormat="1" ht="15" customHeight="1">
      <c r="B9" s="499" t="s">
        <v>839</v>
      </c>
      <c r="C9" s="499"/>
      <c r="D9" s="499"/>
      <c r="E9" s="499"/>
    </row>
    <row r="10" spans="2:5" s="2" customFormat="1" ht="15.6" customHeight="1" thickBot="1">
      <c r="B10" s="492" t="s">
        <v>838</v>
      </c>
      <c r="C10" s="492"/>
      <c r="D10" s="492"/>
      <c r="E10" s="492"/>
    </row>
    <row r="11" spans="2:5" s="42" customFormat="1" ht="55.5" customHeight="1" thickBot="1">
      <c r="B11" s="151" t="s">
        <v>5</v>
      </c>
      <c r="C11" s="152" t="s">
        <v>6</v>
      </c>
      <c r="D11" s="153" t="s">
        <v>7</v>
      </c>
      <c r="E11" s="154" t="s">
        <v>52</v>
      </c>
    </row>
    <row r="12" spans="2:5" s="46" customFormat="1" ht="25.9" customHeight="1" thickBot="1">
      <c r="B12" s="255"/>
      <c r="C12" s="256" t="s">
        <v>53</v>
      </c>
      <c r="D12" s="274"/>
      <c r="E12" s="275"/>
    </row>
    <row r="13" spans="2:5" s="46" customFormat="1" ht="25.9" customHeight="1">
      <c r="B13" s="276" t="s">
        <v>780</v>
      </c>
      <c r="C13" s="277">
        <v>13500</v>
      </c>
      <c r="D13" s="283">
        <f>0.1*0.1*6*C13</f>
        <v>810.00000000000011</v>
      </c>
      <c r="E13" s="278">
        <v>16.600000000000001</v>
      </c>
    </row>
    <row r="14" spans="2:5" s="46" customFormat="1" ht="24" customHeight="1">
      <c r="B14" s="276" t="s">
        <v>54</v>
      </c>
      <c r="C14" s="277">
        <v>9500</v>
      </c>
      <c r="D14" s="283">
        <f>0.1*0.15*6*C14</f>
        <v>855</v>
      </c>
      <c r="E14" s="278">
        <v>11.1</v>
      </c>
    </row>
    <row r="15" spans="2:5" s="46" customFormat="1" ht="24" customHeight="1">
      <c r="B15" s="279" t="s">
        <v>724</v>
      </c>
      <c r="C15" s="277">
        <v>9500</v>
      </c>
      <c r="D15" s="283">
        <f>0.15*0.2*6*C15</f>
        <v>1710</v>
      </c>
      <c r="E15" s="280">
        <v>5.5</v>
      </c>
    </row>
    <row r="16" spans="2:5" s="46" customFormat="1" ht="24" customHeight="1">
      <c r="B16" s="281" t="s">
        <v>28</v>
      </c>
      <c r="C16" s="282">
        <v>17500</v>
      </c>
      <c r="D16" s="283">
        <f>0.1*0.1*6*C16</f>
        <v>1050.0000000000002</v>
      </c>
      <c r="E16" s="284">
        <v>16.600000000000001</v>
      </c>
    </row>
    <row r="17" spans="1:5" s="46" customFormat="1" ht="24" customHeight="1">
      <c r="B17" s="281" t="s">
        <v>29</v>
      </c>
      <c r="C17" s="282">
        <v>17500</v>
      </c>
      <c r="D17" s="283">
        <f>0.1*0.15*6*C17</f>
        <v>1575</v>
      </c>
      <c r="E17" s="284">
        <v>11.1</v>
      </c>
    </row>
    <row r="18" spans="1:5" s="46" customFormat="1" ht="24" customHeight="1">
      <c r="B18" s="288" t="s">
        <v>836</v>
      </c>
      <c r="C18" s="282">
        <v>17500</v>
      </c>
      <c r="D18" s="283">
        <f>0.1*0.2*2*C18</f>
        <v>700.00000000000011</v>
      </c>
      <c r="E18" s="287">
        <v>25</v>
      </c>
    </row>
    <row r="19" spans="1:5" s="46" customFormat="1" ht="24" customHeight="1">
      <c r="B19" s="288" t="s">
        <v>55</v>
      </c>
      <c r="C19" s="282">
        <v>17500</v>
      </c>
      <c r="D19" s="283">
        <f>0.1*0.2*6*C19</f>
        <v>2100.0000000000005</v>
      </c>
      <c r="E19" s="287">
        <v>8.3000000000000007</v>
      </c>
    </row>
    <row r="20" spans="1:5" s="46" customFormat="1" ht="24" customHeight="1">
      <c r="B20" s="288" t="s">
        <v>56</v>
      </c>
      <c r="C20" s="282">
        <v>17500</v>
      </c>
      <c r="D20" s="283">
        <f>0.15*0.15*6*C20</f>
        <v>2362.5</v>
      </c>
      <c r="E20" s="287">
        <v>7.4</v>
      </c>
    </row>
    <row r="21" spans="1:5" s="46" customFormat="1" ht="24" customHeight="1">
      <c r="B21" s="288" t="s">
        <v>57</v>
      </c>
      <c r="C21" s="282">
        <v>17500</v>
      </c>
      <c r="D21" s="283">
        <f>0.15*0.2*6*C21</f>
        <v>3150</v>
      </c>
      <c r="E21" s="287">
        <v>5.5</v>
      </c>
    </row>
    <row r="22" spans="1:5" s="46" customFormat="1" ht="24" customHeight="1" thickBot="1">
      <c r="B22" s="289" t="s">
        <v>58</v>
      </c>
      <c r="C22" s="282">
        <v>17500</v>
      </c>
      <c r="D22" s="283">
        <f>0.2*0.2*6*C22</f>
        <v>4200.0000000000009</v>
      </c>
      <c r="E22" s="290">
        <v>4.0999999999999996</v>
      </c>
    </row>
    <row r="23" spans="1:5" s="46" customFormat="1" ht="26.45" customHeight="1" thickBot="1">
      <c r="B23" s="255"/>
      <c r="C23" s="256" t="s">
        <v>10</v>
      </c>
      <c r="D23" s="291"/>
      <c r="E23" s="275"/>
    </row>
    <row r="24" spans="1:5" s="46" customFormat="1" ht="26.45" customHeight="1" thickBot="1">
      <c r="B24" s="255"/>
      <c r="C24" s="259" t="s">
        <v>59</v>
      </c>
      <c r="D24" s="291"/>
      <c r="E24" s="275"/>
    </row>
    <row r="25" spans="1:5" s="46" customFormat="1" ht="24.6" customHeight="1">
      <c r="B25" s="327" t="s">
        <v>60</v>
      </c>
      <c r="C25" s="298">
        <v>8000</v>
      </c>
      <c r="D25" s="448">
        <f>0.025*0.08*2*C25</f>
        <v>32</v>
      </c>
      <c r="E25" s="299">
        <v>250</v>
      </c>
    </row>
    <row r="26" spans="1:5" s="46" customFormat="1" ht="24.6" customHeight="1">
      <c r="B26" s="285" t="s">
        <v>61</v>
      </c>
      <c r="C26" s="293">
        <v>13000</v>
      </c>
      <c r="D26" s="449">
        <f>0.025*0.1*2*C26</f>
        <v>65.000000000000014</v>
      </c>
      <c r="E26" s="287">
        <v>200</v>
      </c>
    </row>
    <row r="27" spans="1:5" s="46" customFormat="1" ht="24.6" customHeight="1">
      <c r="B27" s="285" t="s">
        <v>62</v>
      </c>
      <c r="C27" s="293">
        <v>13000</v>
      </c>
      <c r="D27" s="449">
        <f>0.025*0.125*2*C27</f>
        <v>81.25</v>
      </c>
      <c r="E27" s="287">
        <v>160</v>
      </c>
    </row>
    <row r="28" spans="1:5" s="46" customFormat="1" ht="24.6" customHeight="1">
      <c r="B28" s="285" t="s">
        <v>63</v>
      </c>
      <c r="C28" s="294">
        <v>13000</v>
      </c>
      <c r="D28" s="449">
        <f>0.025*0.15*2*C28</f>
        <v>97.5</v>
      </c>
      <c r="E28" s="287">
        <v>133.30000000000001</v>
      </c>
    </row>
    <row r="29" spans="1:5" s="296" customFormat="1" ht="24.6" customHeight="1">
      <c r="A29" s="46"/>
      <c r="B29" s="329" t="s">
        <v>755</v>
      </c>
      <c r="C29" s="300">
        <v>10000</v>
      </c>
      <c r="D29" s="449">
        <f>0.032*0.15*2*C29</f>
        <v>95.999999999999986</v>
      </c>
      <c r="E29" s="280">
        <v>86.8</v>
      </c>
    </row>
    <row r="30" spans="1:5" s="296" customFormat="1" ht="24.6" customHeight="1">
      <c r="B30" s="295" t="s">
        <v>64</v>
      </c>
      <c r="C30" s="294">
        <v>14000</v>
      </c>
      <c r="D30" s="449">
        <f>0.04*0.1*2*C30</f>
        <v>112</v>
      </c>
      <c r="E30" s="284">
        <v>125</v>
      </c>
    </row>
    <row r="31" spans="1:5" s="296" customFormat="1" ht="24.6" customHeight="1">
      <c r="B31" s="295" t="s">
        <v>65</v>
      </c>
      <c r="C31" s="294">
        <v>14000</v>
      </c>
      <c r="D31" s="449">
        <f>0.04*0.2*2*C31</f>
        <v>224</v>
      </c>
      <c r="E31" s="284">
        <v>62.5</v>
      </c>
    </row>
    <row r="32" spans="1:5" s="46" customFormat="1" ht="24.6" customHeight="1">
      <c r="B32" s="295" t="s">
        <v>66</v>
      </c>
      <c r="C32" s="294">
        <v>14000</v>
      </c>
      <c r="D32" s="449">
        <f>0.05*0.1*2*C32</f>
        <v>140.00000000000003</v>
      </c>
      <c r="E32" s="284">
        <v>100</v>
      </c>
    </row>
    <row r="33" spans="2:5" s="46" customFormat="1" ht="24.6" customHeight="1">
      <c r="B33" s="295" t="s">
        <v>67</v>
      </c>
      <c r="C33" s="294">
        <v>14000</v>
      </c>
      <c r="D33" s="449">
        <f>0.05*0.15*2*C33</f>
        <v>210</v>
      </c>
      <c r="E33" s="284">
        <v>66</v>
      </c>
    </row>
    <row r="34" spans="2:5" s="46" customFormat="1" ht="24.6" customHeight="1">
      <c r="B34" s="285" t="s">
        <v>68</v>
      </c>
      <c r="C34" s="286">
        <v>14000</v>
      </c>
      <c r="D34" s="462">
        <f>0.05*0.2*2*C34</f>
        <v>280.00000000000006</v>
      </c>
      <c r="E34" s="287">
        <v>50</v>
      </c>
    </row>
    <row r="35" spans="2:5" ht="13.5" thickBot="1"/>
    <row r="36" spans="2:5" s="46" customFormat="1" ht="29.45" customHeight="1" thickBot="1">
      <c r="B36" s="255"/>
      <c r="C36" s="259" t="s">
        <v>69</v>
      </c>
      <c r="D36" s="291"/>
      <c r="E36" s="275"/>
    </row>
    <row r="37" spans="2:5" s="46" customFormat="1" ht="24" customHeight="1">
      <c r="B37" s="306" t="s">
        <v>25</v>
      </c>
      <c r="C37" s="431">
        <v>14500</v>
      </c>
      <c r="D37" s="432">
        <f>0.025*0.1*3*C37</f>
        <v>108.75000000000001</v>
      </c>
      <c r="E37" s="433">
        <v>133.30000000000001</v>
      </c>
    </row>
    <row r="38" spans="2:5" s="46" customFormat="1" ht="24" customHeight="1">
      <c r="B38" s="288" t="s">
        <v>13</v>
      </c>
      <c r="C38" s="293">
        <v>14500</v>
      </c>
      <c r="D38" s="283">
        <f>0.025*0.15*3*C38</f>
        <v>163.125</v>
      </c>
      <c r="E38" s="287">
        <v>88.8</v>
      </c>
    </row>
    <row r="39" spans="2:5" s="296" customFormat="1" ht="23.45" customHeight="1">
      <c r="B39" s="281" t="s">
        <v>70</v>
      </c>
      <c r="C39" s="282">
        <v>14500</v>
      </c>
      <c r="D39" s="283">
        <f>0.04*0.1*3*C39</f>
        <v>174</v>
      </c>
      <c r="E39" s="284">
        <v>83.3</v>
      </c>
    </row>
    <row r="40" spans="2:5" s="296" customFormat="1" ht="23.45" customHeight="1">
      <c r="B40" s="281" t="s">
        <v>71</v>
      </c>
      <c r="C40" s="282">
        <v>14500</v>
      </c>
      <c r="D40" s="283">
        <f>0.04*0.2*3*C40</f>
        <v>348</v>
      </c>
      <c r="E40" s="284">
        <v>41.6</v>
      </c>
    </row>
    <row r="41" spans="2:5" s="46" customFormat="1" ht="23.45" customHeight="1">
      <c r="B41" s="281" t="s">
        <v>72</v>
      </c>
      <c r="C41" s="282">
        <v>14500</v>
      </c>
      <c r="D41" s="283">
        <f>0.05*0.1*3*C41</f>
        <v>217.50000000000003</v>
      </c>
      <c r="E41" s="284">
        <v>66.599999999999994</v>
      </c>
    </row>
    <row r="42" spans="2:5" s="46" customFormat="1" ht="23.45" customHeight="1">
      <c r="B42" s="288" t="s">
        <v>73</v>
      </c>
      <c r="C42" s="282">
        <v>14500</v>
      </c>
      <c r="D42" s="283">
        <f>0.05*0.15*3*C42</f>
        <v>326.25</v>
      </c>
      <c r="E42" s="287">
        <v>44.4</v>
      </c>
    </row>
    <row r="43" spans="2:5" s="46" customFormat="1" ht="23.45" customHeight="1" thickBot="1">
      <c r="B43" s="312" t="s">
        <v>74</v>
      </c>
      <c r="C43" s="434">
        <v>14500</v>
      </c>
      <c r="D43" s="450">
        <f>0.05*0.2*3*C43</f>
        <v>435.00000000000006</v>
      </c>
      <c r="E43" s="313">
        <v>33.299999999999997</v>
      </c>
    </row>
    <row r="44" spans="2:5" s="46" customFormat="1" ht="16.5" customHeight="1" thickBot="1">
      <c r="B44" s="206"/>
      <c r="C44" s="302"/>
      <c r="D44" s="303"/>
      <c r="E44" s="206"/>
    </row>
    <row r="45" spans="2:5" s="46" customFormat="1" ht="25.15" customHeight="1" thickBot="1">
      <c r="B45" s="304"/>
      <c r="C45" s="259" t="s">
        <v>752</v>
      </c>
      <c r="D45" s="305"/>
      <c r="E45" s="275"/>
    </row>
    <row r="46" spans="2:5" s="46" customFormat="1" ht="25.15" customHeight="1">
      <c r="B46" s="306" t="s">
        <v>832</v>
      </c>
      <c r="C46" s="431">
        <v>16000</v>
      </c>
      <c r="D46" s="432">
        <f>0.025*0.15*4*C46</f>
        <v>240</v>
      </c>
      <c r="E46" s="433">
        <v>66.599999999999994</v>
      </c>
    </row>
    <row r="47" spans="2:5" ht="33.75" thickBot="1">
      <c r="B47" s="339" t="s">
        <v>753</v>
      </c>
      <c r="C47" s="340">
        <v>12000</v>
      </c>
      <c r="D47" s="341">
        <v>274</v>
      </c>
      <c r="E47" s="342">
        <v>43.8</v>
      </c>
    </row>
    <row r="48" spans="2:5" s="46" customFormat="1" ht="26.45" customHeight="1" thickBot="1">
      <c r="B48" s="304"/>
      <c r="C48" s="259" t="s">
        <v>15</v>
      </c>
      <c r="D48" s="305"/>
      <c r="E48" s="275"/>
    </row>
    <row r="49" spans="2:5" s="46" customFormat="1" ht="26.45" customHeight="1">
      <c r="B49" s="281" t="s">
        <v>785</v>
      </c>
      <c r="C49" s="282">
        <v>15000</v>
      </c>
      <c r="D49" s="283">
        <f>0.05*0.15*5*C49</f>
        <v>562.5</v>
      </c>
      <c r="E49" s="295">
        <v>25</v>
      </c>
    </row>
    <row r="50" spans="2:5" s="46" customFormat="1" ht="29.45" customHeight="1" thickBot="1">
      <c r="B50" s="339" t="s">
        <v>16</v>
      </c>
      <c r="C50" s="340">
        <v>13000</v>
      </c>
      <c r="D50" s="341">
        <f>0.05*0.2*5*C50</f>
        <v>650.00000000000011</v>
      </c>
      <c r="E50" s="413">
        <v>20</v>
      </c>
    </row>
    <row r="51" spans="2:5" s="46" customFormat="1" ht="11.45" customHeight="1">
      <c r="B51" s="206"/>
      <c r="C51" s="302"/>
      <c r="D51" s="303"/>
      <c r="E51" s="206"/>
    </row>
    <row r="52" spans="2:5" s="46" customFormat="1" ht="11.45" customHeight="1">
      <c r="B52" s="206"/>
      <c r="C52" s="302"/>
      <c r="D52" s="303"/>
      <c r="E52" s="206"/>
    </row>
    <row r="53" spans="2:5" s="46" customFormat="1" ht="18" customHeight="1" thickBot="1">
      <c r="B53" s="206"/>
      <c r="C53" s="302"/>
      <c r="D53" s="303"/>
      <c r="E53" s="206"/>
    </row>
    <row r="54" spans="2:5" s="46" customFormat="1" ht="30" customHeight="1" thickBot="1">
      <c r="B54" s="304"/>
      <c r="C54" s="259" t="s">
        <v>17</v>
      </c>
      <c r="D54" s="305"/>
      <c r="E54" s="275"/>
    </row>
    <row r="55" spans="2:5" s="46" customFormat="1" ht="30" customHeight="1">
      <c r="B55" s="281" t="s">
        <v>18</v>
      </c>
      <c r="C55" s="431">
        <v>17500</v>
      </c>
      <c r="D55" s="283">
        <f>0.025*0.1*6*C55</f>
        <v>262.50000000000006</v>
      </c>
      <c r="E55" s="284">
        <v>66.599999999999994</v>
      </c>
    </row>
    <row r="56" spans="2:5" s="46" customFormat="1" ht="30" customHeight="1">
      <c r="B56" s="288" t="s">
        <v>26</v>
      </c>
      <c r="C56" s="282">
        <v>17800</v>
      </c>
      <c r="D56" s="283">
        <f>0.025*0.15*6*C56</f>
        <v>400.5</v>
      </c>
      <c r="E56" s="287">
        <v>44.4</v>
      </c>
    </row>
    <row r="57" spans="2:5" s="46" customFormat="1" ht="26.45" customHeight="1" thickBot="1">
      <c r="B57" s="289" t="s">
        <v>734</v>
      </c>
      <c r="C57" s="434">
        <v>17500</v>
      </c>
      <c r="D57" s="402">
        <f>0.025*0.2*6*C57</f>
        <v>525.00000000000011</v>
      </c>
      <c r="E57" s="290">
        <v>33.299999999999997</v>
      </c>
    </row>
    <row r="58" spans="2:5" s="46" customFormat="1" ht="3.6" customHeight="1" thickBot="1">
      <c r="B58" s="257"/>
      <c r="C58" s="467"/>
      <c r="D58" s="301"/>
      <c r="E58" s="258"/>
    </row>
    <row r="59" spans="2:5" s="46" customFormat="1" ht="24" customHeight="1">
      <c r="B59" s="281" t="s">
        <v>75</v>
      </c>
      <c r="C59" s="282">
        <v>17500</v>
      </c>
      <c r="D59" s="283">
        <f>0.032*0.1*6*C59</f>
        <v>336.00000000000006</v>
      </c>
      <c r="E59" s="295">
        <v>52</v>
      </c>
    </row>
    <row r="60" spans="2:5" s="46" customFormat="1" ht="24" customHeight="1" thickBot="1">
      <c r="B60" s="308" t="s">
        <v>76</v>
      </c>
      <c r="C60" s="468">
        <v>17800</v>
      </c>
      <c r="D60" s="402">
        <f>0.032*0.15*6*C60</f>
        <v>512.64</v>
      </c>
      <c r="E60" s="320">
        <v>34.700000000000003</v>
      </c>
    </row>
    <row r="61" spans="2:5" s="46" customFormat="1" ht="3.6" customHeight="1" thickBot="1">
      <c r="B61" s="257"/>
      <c r="C61" s="467" t="s">
        <v>833</v>
      </c>
      <c r="D61" s="301"/>
      <c r="E61" s="258"/>
    </row>
    <row r="62" spans="2:5" s="46" customFormat="1" ht="28.9" customHeight="1">
      <c r="B62" s="281" t="s">
        <v>19</v>
      </c>
      <c r="C62" s="282">
        <v>17500</v>
      </c>
      <c r="D62" s="283">
        <f>0.04*0.1*6*C62</f>
        <v>420</v>
      </c>
      <c r="E62" s="284">
        <v>41.6</v>
      </c>
    </row>
    <row r="63" spans="2:5" s="46" customFormat="1" ht="28.9" customHeight="1">
      <c r="B63" s="288" t="s">
        <v>77</v>
      </c>
      <c r="C63" s="282">
        <v>17500</v>
      </c>
      <c r="D63" s="283">
        <f>0.04*0.15*6*C63</f>
        <v>630.00000000000011</v>
      </c>
      <c r="E63" s="287">
        <v>27.7</v>
      </c>
    </row>
    <row r="64" spans="2:5" s="46" customFormat="1" ht="28.9" customHeight="1" thickBot="1">
      <c r="B64" s="289" t="s">
        <v>20</v>
      </c>
      <c r="C64" s="468">
        <v>17500</v>
      </c>
      <c r="D64" s="402">
        <f>0.04*0.2*6*C64</f>
        <v>840</v>
      </c>
      <c r="E64" s="290">
        <v>20.8</v>
      </c>
    </row>
    <row r="65" spans="2:5" s="46" customFormat="1" ht="4.1500000000000004" customHeight="1" thickBot="1">
      <c r="B65" s="309"/>
      <c r="C65" s="467"/>
      <c r="D65" s="301"/>
      <c r="E65" s="311"/>
    </row>
    <row r="66" spans="2:5" s="46" customFormat="1" ht="27.6" customHeight="1">
      <c r="B66" s="281" t="s">
        <v>21</v>
      </c>
      <c r="C66" s="282">
        <v>17500</v>
      </c>
      <c r="D66" s="283">
        <f>0.05*0.1*6*C66</f>
        <v>525.00000000000011</v>
      </c>
      <c r="E66" s="284">
        <v>33.299999999999997</v>
      </c>
    </row>
    <row r="67" spans="2:5" s="46" customFormat="1" ht="27.6" customHeight="1">
      <c r="B67" s="288" t="s">
        <v>22</v>
      </c>
      <c r="C67" s="282">
        <v>17500</v>
      </c>
      <c r="D67" s="283">
        <f>0.05*0.15*6*C67</f>
        <v>787.5</v>
      </c>
      <c r="E67" s="287">
        <v>22.2</v>
      </c>
    </row>
    <row r="68" spans="2:5" s="46" customFormat="1" ht="27.6" customHeight="1" thickBot="1">
      <c r="B68" s="312" t="s">
        <v>23</v>
      </c>
      <c r="C68" s="282">
        <v>17500</v>
      </c>
      <c r="D68" s="283">
        <f>0.05*0.2*6*C68</f>
        <v>1050.0000000000002</v>
      </c>
      <c r="E68" s="313">
        <v>16.600000000000001</v>
      </c>
    </row>
    <row r="69" spans="2:5" s="46" customFormat="1" ht="27.6" customHeight="1" thickBot="1">
      <c r="B69" s="255"/>
      <c r="C69" s="255" t="s">
        <v>24</v>
      </c>
      <c r="D69" s="291"/>
      <c r="E69" s="275"/>
    </row>
    <row r="70" spans="2:5" s="46" customFormat="1" ht="27.6" customHeight="1" thickBot="1">
      <c r="B70" s="314"/>
      <c r="C70" s="204" t="s">
        <v>59</v>
      </c>
      <c r="D70" s="315"/>
      <c r="E70" s="316"/>
    </row>
    <row r="71" spans="2:5" s="46" customFormat="1" ht="27.6" customHeight="1">
      <c r="B71" s="306" t="s">
        <v>61</v>
      </c>
      <c r="C71" s="307">
        <v>7000</v>
      </c>
      <c r="D71" s="432">
        <f>0.025*0.1*2*C71</f>
        <v>35.000000000000007</v>
      </c>
      <c r="E71" s="292">
        <v>200</v>
      </c>
    </row>
    <row r="72" spans="2:5" s="46" customFormat="1" ht="27.6" customHeight="1">
      <c r="B72" s="281" t="s">
        <v>63</v>
      </c>
      <c r="C72" s="317">
        <v>7000</v>
      </c>
      <c r="D72" s="463">
        <f>0.025*0.15*2*C72</f>
        <v>52.5</v>
      </c>
      <c r="E72" s="295">
        <v>133.30000000000001</v>
      </c>
    </row>
    <row r="73" spans="2:5" s="46" customFormat="1" ht="27.6" customHeight="1">
      <c r="B73" s="288" t="s">
        <v>64</v>
      </c>
      <c r="C73" s="318">
        <v>13000</v>
      </c>
      <c r="D73" s="463">
        <f>0.04*0.1*2*C73</f>
        <v>104</v>
      </c>
      <c r="E73" s="285">
        <v>125</v>
      </c>
    </row>
    <row r="74" spans="2:5" s="46" customFormat="1" ht="27.6" customHeight="1">
      <c r="B74" s="308" t="s">
        <v>78</v>
      </c>
      <c r="C74" s="319">
        <v>13000</v>
      </c>
      <c r="D74" s="463">
        <f>0.04*0.15*2*C74</f>
        <v>156</v>
      </c>
      <c r="E74" s="320">
        <v>83.3</v>
      </c>
    </row>
    <row r="75" spans="2:5" s="46" customFormat="1" ht="27.6" customHeight="1" thickBot="1">
      <c r="B75" s="312" t="s">
        <v>67</v>
      </c>
      <c r="C75" s="321">
        <v>13000</v>
      </c>
      <c r="D75" s="450">
        <f>0.05*0.15*2*C75</f>
        <v>195</v>
      </c>
      <c r="E75" s="322">
        <v>66.599999999999994</v>
      </c>
    </row>
    <row r="76" spans="2:5" s="46" customFormat="1" ht="27.6" customHeight="1" thickBot="1">
      <c r="B76" s="323"/>
      <c r="C76" s="205" t="s">
        <v>69</v>
      </c>
      <c r="D76" s="324"/>
      <c r="E76" s="325"/>
    </row>
    <row r="77" spans="2:5" s="46" customFormat="1" ht="27.6" customHeight="1">
      <c r="B77" s="297" t="s">
        <v>25</v>
      </c>
      <c r="C77" s="326">
        <v>11000</v>
      </c>
      <c r="D77" s="448">
        <f>0.025*0.1*3*C77</f>
        <v>82.500000000000014</v>
      </c>
      <c r="E77" s="299">
        <v>133.30000000000001</v>
      </c>
    </row>
    <row r="78" spans="2:5" s="46" customFormat="1" ht="27.6" customHeight="1">
      <c r="B78" s="279" t="s">
        <v>13</v>
      </c>
      <c r="C78" s="328">
        <v>11000</v>
      </c>
      <c r="D78" s="449">
        <f>0.025*0.15*3*C78</f>
        <v>123.75</v>
      </c>
      <c r="E78" s="280">
        <v>88.8</v>
      </c>
    </row>
    <row r="79" spans="2:5" s="46" customFormat="1" ht="27.6" customHeight="1">
      <c r="B79" s="281" t="s">
        <v>14</v>
      </c>
      <c r="C79" s="317">
        <v>13000</v>
      </c>
      <c r="D79" s="449">
        <f>0.032*0.1*3*C79</f>
        <v>124.80000000000001</v>
      </c>
      <c r="E79" s="284">
        <v>104.2</v>
      </c>
    </row>
    <row r="80" spans="2:5" s="46" customFormat="1" ht="27.6" customHeight="1">
      <c r="B80" s="288" t="s">
        <v>70</v>
      </c>
      <c r="C80" s="317">
        <v>13000</v>
      </c>
      <c r="D80" s="449">
        <f>0.04*0.1*3*C80</f>
        <v>156</v>
      </c>
      <c r="E80" s="287">
        <v>83.3</v>
      </c>
    </row>
    <row r="81" spans="2:5" s="46" customFormat="1" ht="27.6" customHeight="1">
      <c r="B81" s="288" t="s">
        <v>72</v>
      </c>
      <c r="C81" s="317">
        <v>13000</v>
      </c>
      <c r="D81" s="449">
        <f>0.05*0.1*3*C81</f>
        <v>195.00000000000003</v>
      </c>
      <c r="E81" s="287">
        <v>66.599999999999994</v>
      </c>
    </row>
    <row r="82" spans="2:5" s="46" customFormat="1" ht="27.6" customHeight="1" thickBot="1">
      <c r="B82" s="254" t="s">
        <v>73</v>
      </c>
      <c r="C82" s="317">
        <v>13000</v>
      </c>
      <c r="D82" s="341">
        <f>0.05*0.15*3*C82</f>
        <v>292.5</v>
      </c>
      <c r="E82" s="447">
        <v>44.4</v>
      </c>
    </row>
    <row r="83" spans="2:5" s="46" customFormat="1" ht="27.6" customHeight="1" thickBot="1">
      <c r="B83" s="330"/>
      <c r="C83" s="155" t="s">
        <v>17</v>
      </c>
      <c r="D83" s="331"/>
      <c r="E83" s="332"/>
    </row>
    <row r="84" spans="2:5" s="46" customFormat="1" ht="27.6" customHeight="1">
      <c r="B84" s="281" t="s">
        <v>18</v>
      </c>
      <c r="C84" s="282">
        <v>11500</v>
      </c>
      <c r="D84" s="283">
        <f>0.025*0.1*6*C84</f>
        <v>172.50000000000003</v>
      </c>
      <c r="E84" s="284">
        <v>66.599999999999994</v>
      </c>
    </row>
    <row r="85" spans="2:5" s="46" customFormat="1" ht="27.6" customHeight="1" thickBot="1">
      <c r="B85" s="289" t="s">
        <v>26</v>
      </c>
      <c r="C85" s="453">
        <v>11500</v>
      </c>
      <c r="D85" s="283">
        <f>0.025*0.15*6*C85</f>
        <v>258.75</v>
      </c>
      <c r="E85" s="290">
        <v>44.4</v>
      </c>
    </row>
    <row r="86" spans="2:5" s="46" customFormat="1" ht="3.6" customHeight="1" thickBot="1">
      <c r="B86" s="309"/>
      <c r="C86" s="310"/>
      <c r="D86" s="451"/>
      <c r="E86" s="311"/>
    </row>
    <row r="87" spans="2:5" s="46" customFormat="1" ht="27.6" customHeight="1">
      <c r="B87" s="276" t="s">
        <v>75</v>
      </c>
      <c r="C87" s="277">
        <v>11000</v>
      </c>
      <c r="D87" s="283">
        <f>0.032*0.1*6*C87</f>
        <v>211.20000000000002</v>
      </c>
      <c r="E87" s="278">
        <v>52</v>
      </c>
    </row>
    <row r="88" spans="2:5" s="46" customFormat="1" ht="27.6" customHeight="1">
      <c r="B88" s="281" t="s">
        <v>19</v>
      </c>
      <c r="C88" s="282">
        <v>14000</v>
      </c>
      <c r="D88" s="283">
        <f>0.04*0.1*6*C88</f>
        <v>336</v>
      </c>
      <c r="E88" s="284">
        <v>41.6</v>
      </c>
    </row>
    <row r="89" spans="2:5" s="46" customFormat="1" ht="27.6" customHeight="1">
      <c r="B89" s="281" t="s">
        <v>77</v>
      </c>
      <c r="C89" s="317">
        <v>14000</v>
      </c>
      <c r="D89" s="283">
        <f>0.04*0.15*6*C89</f>
        <v>504.00000000000006</v>
      </c>
      <c r="E89" s="284">
        <v>27.7</v>
      </c>
    </row>
    <row r="90" spans="2:5" s="46" customFormat="1" ht="27.6" customHeight="1">
      <c r="B90" s="279" t="s">
        <v>754</v>
      </c>
      <c r="C90" s="328">
        <v>10000</v>
      </c>
      <c r="D90" s="283">
        <f>0.04*0.18*6*C90</f>
        <v>432</v>
      </c>
      <c r="E90" s="280">
        <v>23.1</v>
      </c>
    </row>
    <row r="91" spans="2:5" s="46" customFormat="1" ht="27.6" customHeight="1">
      <c r="B91" s="281" t="s">
        <v>20</v>
      </c>
      <c r="C91" s="282">
        <v>14000</v>
      </c>
      <c r="D91" s="283">
        <f>0.04*0.2*6*C91</f>
        <v>672</v>
      </c>
      <c r="E91" s="284">
        <v>20.8</v>
      </c>
    </row>
    <row r="92" spans="2:5" s="46" customFormat="1" ht="27.6" customHeight="1" thickBot="1">
      <c r="B92" s="389" t="s">
        <v>79</v>
      </c>
      <c r="C92" s="403">
        <v>10000</v>
      </c>
      <c r="D92" s="402">
        <f>0.04*0.24*6*C92</f>
        <v>576</v>
      </c>
      <c r="E92" s="390">
        <v>17.3</v>
      </c>
    </row>
    <row r="93" spans="2:5" s="46" customFormat="1" ht="3.6" customHeight="1" thickBot="1">
      <c r="B93" s="309"/>
      <c r="C93" s="310"/>
      <c r="D93" s="301"/>
      <c r="E93" s="311"/>
    </row>
    <row r="94" spans="2:5" s="46" customFormat="1" ht="26.45" customHeight="1">
      <c r="B94" s="404" t="s">
        <v>27</v>
      </c>
      <c r="C94" s="405">
        <v>11000</v>
      </c>
      <c r="D94" s="283">
        <f>0.05*0.1*5*C94</f>
        <v>275.00000000000006</v>
      </c>
      <c r="E94" s="406">
        <v>40</v>
      </c>
    </row>
    <row r="95" spans="2:5" s="46" customFormat="1" ht="26.45" customHeight="1">
      <c r="B95" s="333" t="s">
        <v>21</v>
      </c>
      <c r="C95" s="334">
        <v>14000</v>
      </c>
      <c r="D95" s="283">
        <f>0.05*0.1*6*C95</f>
        <v>420.00000000000006</v>
      </c>
      <c r="E95" s="335">
        <v>33.299999999999997</v>
      </c>
    </row>
    <row r="96" spans="2:5" s="46" customFormat="1" ht="27.6" customHeight="1">
      <c r="B96" s="333" t="s">
        <v>22</v>
      </c>
      <c r="C96" s="334">
        <v>14000</v>
      </c>
      <c r="D96" s="283">
        <f>0.05*0.15*6*C96</f>
        <v>630</v>
      </c>
      <c r="E96" s="335">
        <v>22.2</v>
      </c>
    </row>
    <row r="97" spans="2:13" s="46" customFormat="1" ht="27.6" customHeight="1" thickBot="1">
      <c r="B97" s="336" t="s">
        <v>23</v>
      </c>
      <c r="C97" s="337">
        <v>14000</v>
      </c>
      <c r="D97" s="283">
        <f>0.05*0.2*6*C97</f>
        <v>840.00000000000011</v>
      </c>
      <c r="E97" s="285">
        <v>16.600000000000001</v>
      </c>
    </row>
    <row r="98" spans="2:13" ht="15" customHeight="1" thickBot="1">
      <c r="B98" s="474" t="s">
        <v>732</v>
      </c>
      <c r="C98" s="475"/>
      <c r="D98" s="475"/>
      <c r="E98" s="476"/>
    </row>
    <row r="99" spans="2:13" ht="15" customHeight="1"/>
    <row r="100" spans="2:13" ht="15" customHeight="1"/>
    <row r="101" spans="2:13" ht="15" customHeight="1">
      <c r="M101" s="3"/>
    </row>
    <row r="102" spans="2:13" ht="15" customHeight="1"/>
    <row r="103" spans="2:13" ht="15" customHeight="1"/>
    <row r="104" spans="2:13" ht="20.25" customHeight="1"/>
  </sheetData>
  <mergeCells count="10">
    <mergeCell ref="B10:E10"/>
    <mergeCell ref="B98:E98"/>
    <mergeCell ref="B1:E1"/>
    <mergeCell ref="B2:E2"/>
    <mergeCell ref="B3:E3"/>
    <mergeCell ref="B4:E4"/>
    <mergeCell ref="B5:E5"/>
    <mergeCell ref="B6:E6"/>
    <mergeCell ref="B8:E8"/>
    <mergeCell ref="B9:E9"/>
  </mergeCells>
  <pageMargins left="0.19685039370078741" right="0.15748031496062992" top="0.15748031496062992" bottom="0.15748031496062992" header="0.19685039370078741" footer="0.15748031496062992"/>
  <pageSetup paperSize="9" scale="73" fitToHeight="2" orientation="portrait" r:id="rId1"/>
  <rowBreaks count="1" manualBreakCount="1">
    <brk id="5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3:I50"/>
  <sheetViews>
    <sheetView view="pageBreakPreview" topLeftCell="A34" zoomScale="55" zoomScaleSheetLayoutView="55" workbookViewId="0">
      <selection activeCell="C15" sqref="C15"/>
    </sheetView>
  </sheetViews>
  <sheetFormatPr defaultColWidth="9.140625" defaultRowHeight="20.25"/>
  <cols>
    <col min="1" max="1" width="25.28515625" style="6" customWidth="1"/>
    <col min="2" max="2" width="26.42578125" style="6" customWidth="1"/>
    <col min="3" max="3" width="83.140625" style="6" customWidth="1"/>
    <col min="4" max="4" width="23.140625" style="7" customWidth="1"/>
    <col min="5" max="5" width="21.28515625" style="6" customWidth="1"/>
    <col min="6" max="6" width="24" style="6" customWidth="1"/>
    <col min="7" max="7" width="19.28515625" style="6" customWidth="1"/>
    <col min="8" max="8" width="19.140625" style="6" customWidth="1"/>
    <col min="9" max="9" width="22.7109375" style="6" customWidth="1"/>
    <col min="10" max="10" width="7" style="6" customWidth="1"/>
    <col min="11" max="16384" width="9.140625" style="6"/>
  </cols>
  <sheetData>
    <row r="3" spans="3:9" ht="30.75">
      <c r="C3" s="31"/>
      <c r="D3" s="249"/>
      <c r="E3" s="31"/>
      <c r="F3" s="31"/>
      <c r="G3" s="31"/>
      <c r="H3" s="31"/>
      <c r="I3" s="31"/>
    </row>
    <row r="4" spans="3:9" ht="28.15" customHeight="1">
      <c r="C4" s="504" t="s">
        <v>126</v>
      </c>
      <c r="D4" s="504"/>
      <c r="E4" s="504"/>
      <c r="F4" s="504"/>
      <c r="G4" s="504"/>
      <c r="H4" s="504"/>
      <c r="I4" s="504"/>
    </row>
    <row r="5" spans="3:9" ht="28.15" customHeight="1">
      <c r="C5" s="505" t="s">
        <v>1</v>
      </c>
      <c r="D5" s="505"/>
      <c r="E5" s="505"/>
      <c r="F5" s="505"/>
      <c r="G5" s="505"/>
      <c r="H5" s="505"/>
      <c r="I5" s="505"/>
    </row>
    <row r="6" spans="3:9" ht="28.15" customHeight="1">
      <c r="C6" s="504" t="s">
        <v>127</v>
      </c>
      <c r="D6" s="504"/>
      <c r="E6" s="504"/>
      <c r="F6" s="504"/>
      <c r="G6" s="504"/>
      <c r="H6" s="504"/>
      <c r="I6" s="504"/>
    </row>
    <row r="7" spans="3:9" ht="28.15" customHeight="1">
      <c r="C7" s="504" t="s">
        <v>128</v>
      </c>
      <c r="D7" s="504"/>
      <c r="E7" s="504"/>
      <c r="F7" s="504"/>
      <c r="G7" s="504"/>
      <c r="H7" s="504"/>
      <c r="I7" s="504"/>
    </row>
    <row r="8" spans="3:9" ht="28.15" customHeight="1">
      <c r="C8" s="504" t="s">
        <v>830</v>
      </c>
      <c r="D8" s="504"/>
      <c r="E8" s="504"/>
      <c r="F8" s="504"/>
      <c r="G8" s="504"/>
      <c r="H8" s="504"/>
      <c r="I8" s="504"/>
    </row>
    <row r="9" spans="3:9" ht="28.15" customHeight="1">
      <c r="C9" s="504" t="s">
        <v>50</v>
      </c>
      <c r="D9" s="504"/>
      <c r="E9" s="504"/>
      <c r="F9" s="504"/>
      <c r="G9" s="504"/>
      <c r="H9" s="504"/>
      <c r="I9" s="504"/>
    </row>
    <row r="10" spans="3:9" ht="18.75" customHeight="1">
      <c r="G10" s="10"/>
      <c r="H10" s="14"/>
    </row>
    <row r="11" spans="3:9" ht="23.45" customHeight="1">
      <c r="C11" s="382"/>
      <c r="D11" s="382"/>
      <c r="E11" s="382"/>
      <c r="F11" s="382"/>
      <c r="G11" s="382"/>
      <c r="H11" s="382"/>
      <c r="I11" s="382"/>
    </row>
    <row r="12" spans="3:9" ht="40.5" customHeight="1">
      <c r="C12" s="498" t="s">
        <v>155</v>
      </c>
      <c r="D12" s="498"/>
      <c r="E12" s="498"/>
      <c r="F12" s="498"/>
      <c r="G12" s="498"/>
      <c r="H12" s="498"/>
      <c r="I12" s="498"/>
    </row>
    <row r="13" spans="3:9" ht="25.15" customHeight="1">
      <c r="C13" s="506" t="s">
        <v>831</v>
      </c>
      <c r="D13" s="506"/>
      <c r="E13" s="506"/>
      <c r="F13" s="506"/>
      <c r="G13" s="506"/>
      <c r="H13" s="506"/>
      <c r="I13" s="506"/>
    </row>
    <row r="14" spans="3:9" ht="25.15" customHeight="1" thickBot="1">
      <c r="C14" s="503" t="s">
        <v>841</v>
      </c>
      <c r="D14" s="503"/>
      <c r="E14" s="503"/>
      <c r="F14" s="503"/>
      <c r="G14" s="503"/>
      <c r="H14" s="503"/>
      <c r="I14" s="503"/>
    </row>
    <row r="15" spans="3:9" ht="73.5" customHeight="1" thickBot="1">
      <c r="C15" s="134" t="s">
        <v>156</v>
      </c>
      <c r="D15" s="136" t="s">
        <v>82</v>
      </c>
      <c r="E15" s="135" t="s">
        <v>130</v>
      </c>
      <c r="F15" s="137" t="s">
        <v>131</v>
      </c>
      <c r="G15" s="135" t="s">
        <v>132</v>
      </c>
      <c r="H15" s="137" t="s">
        <v>86</v>
      </c>
      <c r="I15" s="135" t="s">
        <v>87</v>
      </c>
    </row>
    <row r="16" spans="3:9" ht="30.6" customHeight="1">
      <c r="C16" s="174" t="s">
        <v>784</v>
      </c>
      <c r="D16" s="174"/>
      <c r="E16" s="174" t="s">
        <v>150</v>
      </c>
      <c r="F16" s="62" t="s">
        <v>157</v>
      </c>
      <c r="G16" s="64">
        <f>0.016*0.09*6*I16</f>
        <v>224.63999999999996</v>
      </c>
      <c r="H16" s="64">
        <f>G16*1.85</f>
        <v>415.58399999999995</v>
      </c>
      <c r="I16" s="64">
        <v>26000</v>
      </c>
    </row>
    <row r="17" spans="2:9" s="66" customFormat="1" ht="33.6" customHeight="1">
      <c r="C17" s="174" t="s">
        <v>44</v>
      </c>
      <c r="D17" s="174"/>
      <c r="E17" s="174" t="s">
        <v>150</v>
      </c>
      <c r="F17" s="62" t="s">
        <v>157</v>
      </c>
      <c r="G17" s="64">
        <f>0.016*0.09*6*I17</f>
        <v>293.75999999999993</v>
      </c>
      <c r="H17" s="64">
        <f>G17*1.85</f>
        <v>543.4559999999999</v>
      </c>
      <c r="I17" s="64">
        <v>34000</v>
      </c>
    </row>
    <row r="18" spans="2:9" s="66" customFormat="1" ht="33.6" customHeight="1">
      <c r="C18" s="78" t="s">
        <v>158</v>
      </c>
      <c r="D18" s="174"/>
      <c r="E18" s="174" t="s">
        <v>159</v>
      </c>
      <c r="F18" s="62" t="s">
        <v>160</v>
      </c>
      <c r="G18" s="64">
        <f>0.02*0.095*6*I18</f>
        <v>387.6</v>
      </c>
      <c r="H18" s="64">
        <f>G18*1.75</f>
        <v>678.30000000000007</v>
      </c>
      <c r="I18" s="64">
        <v>34000</v>
      </c>
    </row>
    <row r="19" spans="2:9" s="219" customFormat="1" ht="33.6" customHeight="1">
      <c r="C19" s="78" t="s">
        <v>37</v>
      </c>
      <c r="D19" s="174"/>
      <c r="E19" s="174" t="s">
        <v>149</v>
      </c>
      <c r="F19" s="62" t="s">
        <v>144</v>
      </c>
      <c r="G19" s="64">
        <f>0.028*0.14*6*I19</f>
        <v>611.52000000000021</v>
      </c>
      <c r="H19" s="64">
        <f>G19*1.19</f>
        <v>727.70880000000022</v>
      </c>
      <c r="I19" s="64">
        <v>26000</v>
      </c>
    </row>
    <row r="20" spans="2:9" s="219" customFormat="1" ht="33.6" customHeight="1">
      <c r="C20" s="78" t="s">
        <v>147</v>
      </c>
      <c r="D20" s="174"/>
      <c r="E20" s="174" t="s">
        <v>149</v>
      </c>
      <c r="F20" s="62" t="s">
        <v>144</v>
      </c>
      <c r="G20" s="64">
        <f>0.028*0.14*6*I20</f>
        <v>799.68000000000018</v>
      </c>
      <c r="H20" s="64">
        <f t="shared" ref="H20" si="0">G20*1.19</f>
        <v>951.61920000000021</v>
      </c>
      <c r="I20" s="64">
        <v>34000</v>
      </c>
    </row>
    <row r="21" spans="2:9" s="66" customFormat="1" ht="33.6" customHeight="1">
      <c r="C21" s="78" t="s">
        <v>161</v>
      </c>
      <c r="D21" s="78"/>
      <c r="E21" s="174" t="s">
        <v>150</v>
      </c>
      <c r="F21" s="67" t="s">
        <v>162</v>
      </c>
      <c r="G21" s="69">
        <f>0.035*0.09*6*I21</f>
        <v>623.70000000000005</v>
      </c>
      <c r="H21" s="64">
        <f>G21*1.85</f>
        <v>1153.845</v>
      </c>
      <c r="I21" s="64">
        <v>33000</v>
      </c>
    </row>
    <row r="22" spans="2:9" s="219" customFormat="1" ht="33.6" customHeight="1">
      <c r="C22" s="383" t="s">
        <v>770</v>
      </c>
      <c r="D22" s="383"/>
      <c r="E22" s="383" t="s">
        <v>149</v>
      </c>
      <c r="F22" s="200" t="s">
        <v>163</v>
      </c>
      <c r="G22" s="198">
        <f>0.035*0.14*6*I22</f>
        <v>411.6</v>
      </c>
      <c r="H22" s="198">
        <f t="shared" ref="H22:H32" si="1">G22*1.19</f>
        <v>489.80400000000003</v>
      </c>
      <c r="I22" s="197">
        <v>14000</v>
      </c>
    </row>
    <row r="23" spans="2:9" s="66" customFormat="1" ht="33.6" customHeight="1">
      <c r="C23" s="78" t="s">
        <v>152</v>
      </c>
      <c r="D23" s="78"/>
      <c r="E23" s="174" t="s">
        <v>149</v>
      </c>
      <c r="F23" s="67" t="s">
        <v>163</v>
      </c>
      <c r="G23" s="69">
        <f>0.038*0.14*6*I23</f>
        <v>1053.3600000000001</v>
      </c>
      <c r="H23" s="64">
        <f t="shared" si="1"/>
        <v>1253.4984000000002</v>
      </c>
      <c r="I23" s="64">
        <v>33000</v>
      </c>
    </row>
    <row r="24" spans="2:9" s="66" customFormat="1" ht="33.6" customHeight="1">
      <c r="C24" s="78" t="s">
        <v>32</v>
      </c>
      <c r="D24" s="78"/>
      <c r="E24" s="78" t="s">
        <v>164</v>
      </c>
      <c r="F24" s="78" t="s">
        <v>137</v>
      </c>
      <c r="G24" s="69">
        <f>0.038*0.19*6*I24</f>
        <v>1429.56</v>
      </c>
      <c r="H24" s="64">
        <f>G24*0.88</f>
        <v>1258.0128</v>
      </c>
      <c r="I24" s="64">
        <v>33000</v>
      </c>
    </row>
    <row r="25" spans="2:9" s="66" customFormat="1" ht="33.6" customHeight="1">
      <c r="C25" s="78" t="s">
        <v>165</v>
      </c>
      <c r="D25" s="78"/>
      <c r="E25" s="78" t="s">
        <v>150</v>
      </c>
      <c r="F25" s="67" t="s">
        <v>166</v>
      </c>
      <c r="G25" s="69">
        <f>0.045*0.09*6*I25</f>
        <v>801.9</v>
      </c>
      <c r="H25" s="64">
        <f>G25*1.85</f>
        <v>1483.5150000000001</v>
      </c>
      <c r="I25" s="64">
        <v>33000</v>
      </c>
    </row>
    <row r="26" spans="2:9" s="66" customFormat="1" ht="33.6" customHeight="1">
      <c r="C26" s="78" t="s">
        <v>45</v>
      </c>
      <c r="D26" s="78"/>
      <c r="E26" s="78" t="s">
        <v>159</v>
      </c>
      <c r="F26" s="67" t="s">
        <v>167</v>
      </c>
      <c r="G26" s="69">
        <f>0.045*0.095*6*I26</f>
        <v>846.44999999999993</v>
      </c>
      <c r="H26" s="64">
        <f>G26*1.75</f>
        <v>1481.2874999999999</v>
      </c>
      <c r="I26" s="64">
        <v>33000</v>
      </c>
    </row>
    <row r="27" spans="2:9" s="219" customFormat="1" ht="33.6" customHeight="1">
      <c r="C27" s="78" t="s">
        <v>168</v>
      </c>
      <c r="D27" s="78"/>
      <c r="E27" s="78" t="s">
        <v>164</v>
      </c>
      <c r="F27" s="67" t="s">
        <v>169</v>
      </c>
      <c r="G27" s="69">
        <f>0.048*0.19*6*I27</f>
        <v>1805.76</v>
      </c>
      <c r="H27" s="64">
        <f>G27*0.88</f>
        <v>1589.0688</v>
      </c>
      <c r="I27" s="64">
        <v>33000</v>
      </c>
    </row>
    <row r="28" spans="2:9" s="219" customFormat="1" ht="33.6" customHeight="1">
      <c r="B28" s="66"/>
      <c r="C28" s="78" t="s">
        <v>170</v>
      </c>
      <c r="D28" s="78"/>
      <c r="E28" s="78" t="s">
        <v>149</v>
      </c>
      <c r="F28" s="67" t="s">
        <v>171</v>
      </c>
      <c r="G28" s="69">
        <f>0.05*0.14*6*I28</f>
        <v>1386.0000000000002</v>
      </c>
      <c r="H28" s="64">
        <f t="shared" si="1"/>
        <v>1649.3400000000001</v>
      </c>
      <c r="I28" s="64">
        <v>33000</v>
      </c>
    </row>
    <row r="29" spans="2:9" s="66" customFormat="1" ht="33.6" customHeight="1">
      <c r="C29" s="78" t="s">
        <v>172</v>
      </c>
      <c r="D29" s="78"/>
      <c r="E29" s="78" t="s">
        <v>149</v>
      </c>
      <c r="F29" s="67" t="s">
        <v>144</v>
      </c>
      <c r="G29" s="69">
        <f>0.028*0.14*6*I29</f>
        <v>799.68000000000018</v>
      </c>
      <c r="H29" s="64">
        <f>G29*1.19</f>
        <v>951.61920000000021</v>
      </c>
      <c r="I29" s="64">
        <v>34000</v>
      </c>
    </row>
    <row r="30" spans="2:9" s="66" customFormat="1" ht="33.6" customHeight="1">
      <c r="C30" s="435" t="s">
        <v>173</v>
      </c>
      <c r="D30" s="435"/>
      <c r="E30" s="435" t="s">
        <v>149</v>
      </c>
      <c r="F30" s="393" t="s">
        <v>144</v>
      </c>
      <c r="G30" s="197">
        <f>0.028*0.14*6*I30</f>
        <v>564.48000000000013</v>
      </c>
      <c r="H30" s="198">
        <f t="shared" si="1"/>
        <v>671.73120000000017</v>
      </c>
      <c r="I30" s="198">
        <v>24000</v>
      </c>
    </row>
    <row r="31" spans="2:9" s="66" customFormat="1" ht="33.6" customHeight="1">
      <c r="C31" s="78" t="s">
        <v>174</v>
      </c>
      <c r="D31" s="78"/>
      <c r="E31" s="78" t="s">
        <v>149</v>
      </c>
      <c r="F31" s="67" t="s">
        <v>144</v>
      </c>
      <c r="G31" s="69">
        <f t="shared" ref="G31:G32" si="2">0.038*0.14*6*I31</f>
        <v>1053.3600000000001</v>
      </c>
      <c r="H31" s="64">
        <f t="shared" si="1"/>
        <v>1253.4984000000002</v>
      </c>
      <c r="I31" s="64">
        <v>33000</v>
      </c>
    </row>
    <row r="32" spans="2:9" s="66" customFormat="1" ht="33.6" customHeight="1" thickBot="1">
      <c r="C32" s="436" t="s">
        <v>175</v>
      </c>
      <c r="D32" s="436"/>
      <c r="E32" s="436" t="s">
        <v>149</v>
      </c>
      <c r="F32" s="344" t="s">
        <v>144</v>
      </c>
      <c r="G32" s="186">
        <f t="shared" si="2"/>
        <v>766.08</v>
      </c>
      <c r="H32" s="199">
        <f t="shared" si="1"/>
        <v>911.63520000000005</v>
      </c>
      <c r="I32" s="199">
        <v>24000</v>
      </c>
    </row>
    <row r="33" spans="3:9" ht="92.25" customHeight="1" thickBot="1">
      <c r="C33" s="14"/>
      <c r="D33" s="14"/>
      <c r="E33" s="14"/>
      <c r="F33" s="14"/>
      <c r="G33" s="14"/>
      <c r="H33" s="14"/>
      <c r="I33" s="14"/>
    </row>
    <row r="34" spans="3:9" ht="74.25" customHeight="1" thickBot="1">
      <c r="C34" s="134" t="s">
        <v>176</v>
      </c>
      <c r="D34" s="136" t="s">
        <v>82</v>
      </c>
      <c r="E34" s="135" t="s">
        <v>130</v>
      </c>
      <c r="F34" s="137" t="s">
        <v>131</v>
      </c>
      <c r="G34" s="135" t="s">
        <v>132</v>
      </c>
      <c r="H34" s="137" t="s">
        <v>86</v>
      </c>
      <c r="I34" s="135" t="s">
        <v>87</v>
      </c>
    </row>
    <row r="35" spans="3:9" s="66" customFormat="1" ht="34.15" customHeight="1">
      <c r="C35" s="71" t="s">
        <v>177</v>
      </c>
      <c r="D35" s="72"/>
      <c r="E35" s="71" t="s">
        <v>178</v>
      </c>
      <c r="F35" s="72" t="s">
        <v>179</v>
      </c>
      <c r="G35" s="73">
        <v>380</v>
      </c>
      <c r="H35" s="232">
        <f>G35*2.38</f>
        <v>904.4</v>
      </c>
      <c r="I35" s="73">
        <v>24000</v>
      </c>
    </row>
    <row r="36" spans="3:9" s="66" customFormat="1" ht="34.15" customHeight="1" thickBot="1">
      <c r="C36" s="74" t="s">
        <v>180</v>
      </c>
      <c r="D36" s="75"/>
      <c r="E36" s="74" t="s">
        <v>159</v>
      </c>
      <c r="F36" s="75" t="s">
        <v>151</v>
      </c>
      <c r="G36" s="76">
        <v>368</v>
      </c>
      <c r="H36" s="202">
        <f>G36*1.75</f>
        <v>644</v>
      </c>
      <c r="I36" s="76">
        <v>17000</v>
      </c>
    </row>
    <row r="37" spans="3:9" s="66" customFormat="1" ht="34.15" customHeight="1">
      <c r="C37" s="67" t="s">
        <v>773</v>
      </c>
      <c r="D37" s="67"/>
      <c r="E37" s="68" t="s">
        <v>774</v>
      </c>
      <c r="F37" s="67" t="s">
        <v>775</v>
      </c>
      <c r="G37" s="69">
        <v>777</v>
      </c>
      <c r="H37" s="65">
        <v>1450</v>
      </c>
      <c r="I37" s="69">
        <v>29500</v>
      </c>
    </row>
    <row r="38" spans="3:9" s="66" customFormat="1" ht="34.15" customHeight="1" thickBot="1">
      <c r="C38" s="79" t="s">
        <v>776</v>
      </c>
      <c r="D38" s="79"/>
      <c r="E38" s="208" t="s">
        <v>159</v>
      </c>
      <c r="F38" s="79" t="s">
        <v>777</v>
      </c>
      <c r="G38" s="202">
        <v>808</v>
      </c>
      <c r="H38" s="394">
        <v>1560</v>
      </c>
      <c r="I38" s="202">
        <v>29500</v>
      </c>
    </row>
    <row r="39" spans="3:9" ht="100.5" customHeight="1" thickBot="1">
      <c r="C39" s="14"/>
      <c r="D39" s="14"/>
      <c r="E39" s="14"/>
      <c r="F39" s="14"/>
      <c r="G39" s="18"/>
      <c r="H39" s="18"/>
      <c r="I39" s="18"/>
    </row>
    <row r="40" spans="3:9" ht="74.25" customHeight="1" thickBot="1">
      <c r="C40" s="135" t="s">
        <v>726</v>
      </c>
      <c r="D40" s="136" t="s">
        <v>82</v>
      </c>
      <c r="E40" s="135" t="s">
        <v>130</v>
      </c>
      <c r="F40" s="137" t="s">
        <v>131</v>
      </c>
      <c r="G40" s="135" t="s">
        <v>132</v>
      </c>
      <c r="H40" s="137" t="s">
        <v>86</v>
      </c>
      <c r="I40" s="135" t="s">
        <v>87</v>
      </c>
    </row>
    <row r="41" spans="3:9" s="66" customFormat="1" ht="34.15" customHeight="1">
      <c r="C41" s="395" t="s">
        <v>41</v>
      </c>
      <c r="D41" s="396"/>
      <c r="E41" s="397" t="s">
        <v>181</v>
      </c>
      <c r="F41" s="396" t="s">
        <v>182</v>
      </c>
      <c r="G41" s="398">
        <v>43</v>
      </c>
      <c r="H41" s="399">
        <f>G41*10.2</f>
        <v>438.59999999999997</v>
      </c>
      <c r="I41" s="399">
        <v>22000</v>
      </c>
    </row>
    <row r="42" spans="3:9" s="66" customFormat="1" ht="34.15" customHeight="1">
      <c r="C42" s="383" t="s">
        <v>42</v>
      </c>
      <c r="D42" s="393"/>
      <c r="E42" s="201" t="s">
        <v>183</v>
      </c>
      <c r="F42" s="200" t="s">
        <v>184</v>
      </c>
      <c r="G42" s="400">
        <v>58</v>
      </c>
      <c r="H42" s="197">
        <f>G42*7.7</f>
        <v>446.6</v>
      </c>
      <c r="I42" s="198">
        <v>22000</v>
      </c>
    </row>
    <row r="43" spans="3:9" s="66" customFormat="1" ht="34.15" customHeight="1">
      <c r="C43" s="383" t="s">
        <v>43</v>
      </c>
      <c r="D43" s="393"/>
      <c r="E43" s="201" t="s">
        <v>185</v>
      </c>
      <c r="F43" s="200" t="s">
        <v>186</v>
      </c>
      <c r="G43" s="400">
        <v>86</v>
      </c>
      <c r="H43" s="197">
        <f>G43*5.1</f>
        <v>438.59999999999997</v>
      </c>
      <c r="I43" s="401">
        <v>22000</v>
      </c>
    </row>
    <row r="44" spans="3:9" s="66" customFormat="1" ht="34.15" customHeight="1">
      <c r="C44" s="174" t="s">
        <v>746</v>
      </c>
      <c r="D44" s="67"/>
      <c r="E44" s="63" t="s">
        <v>747</v>
      </c>
      <c r="F44" s="62" t="s">
        <v>748</v>
      </c>
      <c r="G44" s="70">
        <v>76</v>
      </c>
      <c r="H44" s="69">
        <f>G44*5.3</f>
        <v>402.8</v>
      </c>
      <c r="I44" s="181">
        <v>20000</v>
      </c>
    </row>
    <row r="45" spans="3:9" s="66" customFormat="1" ht="34.15" customHeight="1">
      <c r="C45" s="174" t="s">
        <v>146</v>
      </c>
      <c r="D45" s="67"/>
      <c r="E45" s="63" t="s">
        <v>749</v>
      </c>
      <c r="F45" s="62" t="s">
        <v>143</v>
      </c>
      <c r="G45" s="70">
        <v>183</v>
      </c>
      <c r="H45" s="69">
        <v>640</v>
      </c>
      <c r="I45" s="181">
        <v>32000</v>
      </c>
    </row>
    <row r="46" spans="3:9" s="66" customFormat="1" ht="34.15" customHeight="1">
      <c r="C46" s="174" t="s">
        <v>825</v>
      </c>
      <c r="D46" s="67"/>
      <c r="E46" s="63" t="s">
        <v>187</v>
      </c>
      <c r="F46" s="62" t="s">
        <v>827</v>
      </c>
      <c r="G46" s="70">
        <f>0.02*0.096*2*I46</f>
        <v>107.52</v>
      </c>
      <c r="H46" s="69">
        <f>G46*5.2</f>
        <v>559.10400000000004</v>
      </c>
      <c r="I46" s="181">
        <v>28000</v>
      </c>
    </row>
    <row r="47" spans="3:9" s="66" customFormat="1" ht="34.15" customHeight="1">
      <c r="C47" s="174" t="s">
        <v>826</v>
      </c>
      <c r="D47" s="67"/>
      <c r="E47" s="63" t="s">
        <v>829</v>
      </c>
      <c r="F47" s="62" t="s">
        <v>828</v>
      </c>
      <c r="G47" s="70">
        <f>0.02*0.096*2.1*I47</f>
        <v>112.896</v>
      </c>
      <c r="H47" s="69">
        <f>G47*4.9</f>
        <v>553.19040000000007</v>
      </c>
      <c r="I47" s="181">
        <v>28000</v>
      </c>
    </row>
    <row r="48" spans="3:9" s="66" customFormat="1" ht="34.15" customHeight="1">
      <c r="C48" s="174" t="s">
        <v>823</v>
      </c>
      <c r="D48" s="67"/>
      <c r="E48" s="63" t="s">
        <v>749</v>
      </c>
      <c r="F48" s="62" t="s">
        <v>824</v>
      </c>
      <c r="G48" s="70">
        <f>0.02*0.096*3*I48</f>
        <v>132.48000000000002</v>
      </c>
      <c r="H48" s="69">
        <f>G48*3.5</f>
        <v>463.68000000000006</v>
      </c>
      <c r="I48" s="181">
        <v>23000</v>
      </c>
    </row>
    <row r="49" spans="3:9" s="66" customFormat="1" ht="34.15" customHeight="1" thickBot="1">
      <c r="C49" s="209" t="s">
        <v>188</v>
      </c>
      <c r="D49" s="74"/>
      <c r="E49" s="75" t="s">
        <v>187</v>
      </c>
      <c r="F49" s="74" t="s">
        <v>189</v>
      </c>
      <c r="G49" s="77">
        <v>134</v>
      </c>
      <c r="H49" s="76">
        <f>G49*5.2</f>
        <v>696.80000000000007</v>
      </c>
      <c r="I49" s="233">
        <v>28000</v>
      </c>
    </row>
    <row r="50" spans="3:9" ht="34.15" customHeight="1" thickBot="1">
      <c r="C50" s="500" t="s">
        <v>732</v>
      </c>
      <c r="D50" s="501"/>
      <c r="E50" s="501"/>
      <c r="F50" s="501"/>
      <c r="G50" s="501"/>
      <c r="H50" s="501"/>
      <c r="I50" s="502"/>
    </row>
  </sheetData>
  <mergeCells count="10">
    <mergeCell ref="C50:I50"/>
    <mergeCell ref="C12:I12"/>
    <mergeCell ref="C14:I14"/>
    <mergeCell ref="C9:I9"/>
    <mergeCell ref="C4:I4"/>
    <mergeCell ref="C5:I5"/>
    <mergeCell ref="C6:I6"/>
    <mergeCell ref="C7:I7"/>
    <mergeCell ref="C8:I8"/>
    <mergeCell ref="C13:I13"/>
  </mergeCells>
  <phoneticPr fontId="3" type="noConversion"/>
  <pageMargins left="0.15748031496062992" right="0.15748031496062992" top="0.15748031496062992" bottom="0.15748031496062992" header="0.15748031496062992" footer="0.15748031496062992"/>
  <pageSetup paperSize="9" scale="4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C1:I45"/>
  <sheetViews>
    <sheetView workbookViewId="0">
      <selection activeCell="H11" sqref="H11"/>
    </sheetView>
  </sheetViews>
  <sheetFormatPr defaultRowHeight="12.75"/>
  <cols>
    <col min="1" max="1" width="6.85546875" customWidth="1"/>
    <col min="2" max="2" width="19.85546875" customWidth="1"/>
    <col min="3" max="3" width="35.85546875" customWidth="1"/>
    <col min="4" max="4" width="19.140625" customWidth="1"/>
    <col min="5" max="5" width="19.5703125" customWidth="1"/>
    <col min="6" max="6" width="17" customWidth="1"/>
    <col min="7" max="7" width="19.5703125" customWidth="1"/>
  </cols>
  <sheetData>
    <row r="1" spans="3:9" s="9" customFormat="1" ht="17.45" customHeight="1">
      <c r="C1" s="507" t="s">
        <v>0</v>
      </c>
      <c r="D1" s="507"/>
      <c r="E1" s="507"/>
      <c r="F1" s="507"/>
      <c r="G1" s="25"/>
      <c r="H1" s="25"/>
      <c r="I1" s="25"/>
    </row>
    <row r="2" spans="3:9" s="9" customFormat="1" ht="17.45" customHeight="1">
      <c r="C2" s="507" t="s">
        <v>390</v>
      </c>
      <c r="D2" s="507"/>
      <c r="E2" s="507"/>
      <c r="F2" s="507"/>
      <c r="G2" s="25"/>
      <c r="H2" s="25"/>
      <c r="I2" s="25"/>
    </row>
    <row r="3" spans="3:9" s="9" customFormat="1" ht="17.45" customHeight="1">
      <c r="C3" s="507" t="s">
        <v>2</v>
      </c>
      <c r="D3" s="507"/>
      <c r="E3" s="507"/>
      <c r="F3" s="507"/>
      <c r="G3" s="25"/>
      <c r="H3" s="25"/>
      <c r="I3" s="25"/>
    </row>
    <row r="4" spans="3:9" s="9" customFormat="1" ht="17.45" customHeight="1">
      <c r="C4" s="507" t="s">
        <v>252</v>
      </c>
      <c r="D4" s="507"/>
      <c r="E4" s="507"/>
      <c r="F4" s="507"/>
      <c r="G4" s="14"/>
      <c r="H4" s="25"/>
      <c r="I4" s="378"/>
    </row>
    <row r="5" spans="3:9" s="9" customFormat="1" ht="17.45" customHeight="1">
      <c r="C5" s="507" t="s">
        <v>830</v>
      </c>
      <c r="D5" s="507"/>
      <c r="E5" s="507"/>
      <c r="F5" s="507"/>
      <c r="G5" s="14"/>
      <c r="H5" s="25"/>
      <c r="I5" s="378"/>
    </row>
    <row r="6" spans="3:9" s="9" customFormat="1" ht="17.45" customHeight="1">
      <c r="C6" s="507" t="s">
        <v>391</v>
      </c>
      <c r="D6" s="507"/>
      <c r="E6" s="507"/>
      <c r="F6" s="507"/>
      <c r="G6" s="180"/>
      <c r="H6" s="360"/>
      <c r="I6" s="25"/>
    </row>
    <row r="7" spans="3:9" s="9" customFormat="1" ht="16.149999999999999" customHeight="1">
      <c r="C7" s="524" t="s">
        <v>831</v>
      </c>
      <c r="D7" s="524"/>
      <c r="E7" s="524"/>
      <c r="F7" s="524"/>
      <c r="G7" s="180"/>
      <c r="H7" s="360"/>
      <c r="I7" s="25"/>
    </row>
    <row r="8" spans="3:9" ht="17.25" customHeight="1" thickBot="1">
      <c r="C8" s="520" t="s">
        <v>822</v>
      </c>
      <c r="D8" s="520"/>
      <c r="E8" s="520"/>
      <c r="F8" s="520"/>
      <c r="G8" s="8"/>
      <c r="H8" s="5"/>
      <c r="I8" s="6"/>
    </row>
    <row r="9" spans="3:9" s="9" customFormat="1" ht="30" customHeight="1" thickBot="1">
      <c r="C9" s="508" t="s">
        <v>392</v>
      </c>
      <c r="D9" s="509"/>
      <c r="E9" s="509"/>
      <c r="F9" s="510"/>
      <c r="G9" s="180"/>
      <c r="H9" s="360"/>
      <c r="I9" s="25"/>
    </row>
    <row r="10" spans="3:9" s="9" customFormat="1" ht="56.45" customHeight="1" thickBot="1">
      <c r="C10" s="151" t="s">
        <v>760</v>
      </c>
      <c r="D10" s="152" t="s">
        <v>768</v>
      </c>
      <c r="E10" s="153" t="s">
        <v>767</v>
      </c>
      <c r="F10" s="154" t="s">
        <v>766</v>
      </c>
      <c r="G10" s="180"/>
      <c r="H10" s="360"/>
      <c r="I10" s="25"/>
    </row>
    <row r="11" spans="3:9" s="9" customFormat="1" ht="25.9" customHeight="1" thickBot="1">
      <c r="C11" s="521" t="s">
        <v>764</v>
      </c>
      <c r="D11" s="522"/>
      <c r="E11" s="522"/>
      <c r="F11" s="523"/>
      <c r="G11" s="180"/>
      <c r="H11" s="360"/>
      <c r="I11" s="25"/>
    </row>
    <row r="12" spans="3:9" s="359" customFormat="1" ht="21" customHeight="1">
      <c r="C12" s="356" t="s">
        <v>394</v>
      </c>
      <c r="D12" s="366">
        <v>16500</v>
      </c>
      <c r="E12" s="373">
        <f>0.025*0.05*3*D12</f>
        <v>61.875000000000014</v>
      </c>
      <c r="F12" s="376">
        <v>266.60000000000002</v>
      </c>
      <c r="G12" s="180"/>
      <c r="I12" s="14"/>
    </row>
    <row r="13" spans="3:9" s="359" customFormat="1" ht="21" customHeight="1">
      <c r="C13" s="356" t="s">
        <v>395</v>
      </c>
      <c r="D13" s="366">
        <v>16500</v>
      </c>
      <c r="E13" s="373">
        <f>0.03*0.05*3*D13</f>
        <v>74.250000000000014</v>
      </c>
      <c r="F13" s="376">
        <v>222.2</v>
      </c>
      <c r="G13" s="180"/>
      <c r="I13" s="14"/>
    </row>
    <row r="14" spans="3:9" s="359" customFormat="1" ht="21" customHeight="1">
      <c r="C14" s="356" t="s">
        <v>396</v>
      </c>
      <c r="D14" s="366">
        <v>16500</v>
      </c>
      <c r="E14" s="373">
        <f>0.04*0.04*3*D14</f>
        <v>79.2</v>
      </c>
      <c r="F14" s="376">
        <v>208.3</v>
      </c>
      <c r="G14" s="180"/>
      <c r="I14" s="14"/>
    </row>
    <row r="15" spans="3:9" s="359" customFormat="1" ht="21" customHeight="1">
      <c r="C15" s="356" t="s">
        <v>399</v>
      </c>
      <c r="D15" s="366">
        <v>16500</v>
      </c>
      <c r="E15" s="373">
        <f>0.04*0.04*6*D15</f>
        <v>158.4</v>
      </c>
      <c r="F15" s="376">
        <v>104.1</v>
      </c>
      <c r="G15" s="180"/>
      <c r="I15" s="14"/>
    </row>
    <row r="16" spans="3:9" s="359" customFormat="1" ht="21" customHeight="1">
      <c r="C16" s="356" t="s">
        <v>397</v>
      </c>
      <c r="D16" s="366">
        <v>16500</v>
      </c>
      <c r="E16" s="373">
        <f>0.04*0.05*3*D16</f>
        <v>99</v>
      </c>
      <c r="F16" s="376">
        <v>166.6</v>
      </c>
      <c r="G16" s="180"/>
      <c r="I16" s="14"/>
    </row>
    <row r="17" spans="3:9" s="9" customFormat="1" ht="21" customHeight="1">
      <c r="C17" s="356" t="s">
        <v>9</v>
      </c>
      <c r="D17" s="366">
        <v>16500</v>
      </c>
      <c r="E17" s="373">
        <f>0.05*0.05*3*D17</f>
        <v>123.75000000000003</v>
      </c>
      <c r="F17" s="376">
        <v>133.30000000000001</v>
      </c>
      <c r="G17" s="180"/>
      <c r="H17" s="360"/>
      <c r="I17" s="25"/>
    </row>
    <row r="18" spans="3:9" s="9" customFormat="1" ht="21" customHeight="1" thickBot="1">
      <c r="C18" s="356" t="s">
        <v>398</v>
      </c>
      <c r="D18" s="366">
        <v>16500</v>
      </c>
      <c r="E18" s="373">
        <f>0.05*0.07*3*D18</f>
        <v>173.25000000000003</v>
      </c>
      <c r="F18" s="376">
        <v>95.2</v>
      </c>
      <c r="G18" s="180"/>
      <c r="H18" s="360"/>
      <c r="I18" s="25"/>
    </row>
    <row r="19" spans="3:9" s="359" customFormat="1" ht="28.9" customHeight="1" thickBot="1">
      <c r="C19" s="521" t="s">
        <v>765</v>
      </c>
      <c r="D19" s="522"/>
      <c r="E19" s="522"/>
      <c r="F19" s="523"/>
      <c r="G19" s="180"/>
      <c r="I19" s="14"/>
    </row>
    <row r="20" spans="3:9" s="359" customFormat="1" ht="21" customHeight="1">
      <c r="C20" s="356" t="s">
        <v>393</v>
      </c>
      <c r="D20" s="368">
        <v>15600</v>
      </c>
      <c r="E20" s="357">
        <f>0.025*0.05*2*D20</f>
        <v>39.000000000000007</v>
      </c>
      <c r="F20" s="376">
        <v>400</v>
      </c>
      <c r="G20" s="180"/>
      <c r="I20" s="14"/>
    </row>
    <row r="21" spans="3:9" s="9" customFormat="1" ht="21" customHeight="1">
      <c r="C21" s="356" t="s">
        <v>395</v>
      </c>
      <c r="D21" s="368">
        <v>13000</v>
      </c>
      <c r="E21" s="357">
        <f>0.03*0.05*3*D21</f>
        <v>58.500000000000007</v>
      </c>
      <c r="F21" s="376">
        <v>222.2</v>
      </c>
      <c r="G21" s="180"/>
      <c r="H21" s="360"/>
      <c r="I21" s="25"/>
    </row>
    <row r="22" spans="3:9" s="9" customFormat="1" ht="21" customHeight="1">
      <c r="C22" s="372" t="s">
        <v>9</v>
      </c>
      <c r="D22" s="369">
        <v>10000</v>
      </c>
      <c r="E22" s="358">
        <f>0.05*0.05*3*D22</f>
        <v>75.000000000000014</v>
      </c>
      <c r="F22" s="377">
        <v>133.30000000000001</v>
      </c>
      <c r="G22" s="180"/>
      <c r="H22" s="360"/>
      <c r="I22" s="25"/>
    </row>
    <row r="23" spans="3:9" s="9" customFormat="1" ht="3.75" customHeight="1">
      <c r="C23" s="14"/>
      <c r="D23" s="14"/>
      <c r="E23" s="14"/>
      <c r="G23" s="360"/>
      <c r="H23" s="360"/>
      <c r="I23" s="360"/>
    </row>
    <row r="24" spans="3:9" s="9" customFormat="1" ht="8.4499999999999993" customHeight="1" thickBot="1">
      <c r="C24" s="14"/>
      <c r="D24" s="14"/>
      <c r="E24" s="14"/>
      <c r="G24" s="360"/>
      <c r="H24" s="360"/>
      <c r="I24" s="360"/>
    </row>
    <row r="25" spans="3:9" s="363" customFormat="1" ht="28.15" customHeight="1" thickBot="1">
      <c r="C25" s="508" t="s">
        <v>761</v>
      </c>
      <c r="D25" s="509"/>
      <c r="E25" s="509"/>
      <c r="F25" s="510"/>
      <c r="G25" s="362"/>
      <c r="H25" s="362"/>
      <c r="I25" s="362"/>
    </row>
    <row r="26" spans="3:9" s="363" customFormat="1" ht="60" customHeight="1" thickBot="1">
      <c r="C26" s="151" t="s">
        <v>760</v>
      </c>
      <c r="D26" s="152" t="s">
        <v>6</v>
      </c>
      <c r="E26" s="153" t="s">
        <v>7</v>
      </c>
      <c r="F26" s="154" t="s">
        <v>52</v>
      </c>
      <c r="G26" s="362"/>
      <c r="H26" s="364"/>
      <c r="I26" s="362"/>
    </row>
    <row r="27" spans="3:9" s="363" customFormat="1" ht="27.75" customHeight="1" thickBot="1">
      <c r="C27" s="511" t="s">
        <v>762</v>
      </c>
      <c r="D27" s="512"/>
      <c r="E27" s="512"/>
      <c r="F27" s="513"/>
      <c r="G27" s="362"/>
      <c r="H27" s="364"/>
      <c r="I27" s="362"/>
    </row>
    <row r="28" spans="3:9" s="363" customFormat="1" ht="22.15" customHeight="1">
      <c r="C28" s="365" t="s">
        <v>400</v>
      </c>
      <c r="D28" s="374">
        <v>30000</v>
      </c>
      <c r="E28" s="366">
        <f>0.02*0.04*3*D28</f>
        <v>72</v>
      </c>
      <c r="F28" s="361">
        <v>416.6</v>
      </c>
      <c r="G28" s="362"/>
      <c r="H28" s="364"/>
      <c r="I28" s="362"/>
    </row>
    <row r="29" spans="3:9" s="363" customFormat="1" ht="22.15" customHeight="1">
      <c r="C29" s="367" t="s">
        <v>759</v>
      </c>
      <c r="D29" s="374">
        <v>30000</v>
      </c>
      <c r="E29" s="366">
        <f>0.02*0.05*2*D29</f>
        <v>60</v>
      </c>
      <c r="F29" s="356">
        <v>500</v>
      </c>
      <c r="G29" s="362"/>
      <c r="H29" s="364"/>
      <c r="I29" s="362"/>
    </row>
    <row r="30" spans="3:9" s="363" customFormat="1" ht="22.15" customHeight="1">
      <c r="C30" s="367" t="s">
        <v>402</v>
      </c>
      <c r="D30" s="374">
        <v>30000</v>
      </c>
      <c r="E30" s="366">
        <f>0.02*0.05*3*D30</f>
        <v>90</v>
      </c>
      <c r="F30" s="356">
        <v>333.3</v>
      </c>
      <c r="G30" s="362"/>
      <c r="H30" s="362"/>
      <c r="I30" s="362"/>
    </row>
    <row r="31" spans="3:9" s="363" customFormat="1" ht="22.15" customHeight="1">
      <c r="C31" s="367" t="s">
        <v>403</v>
      </c>
      <c r="D31" s="374">
        <v>30000</v>
      </c>
      <c r="E31" s="366">
        <f>0.03*0.04*3*D31</f>
        <v>108</v>
      </c>
      <c r="F31" s="356">
        <v>277.7</v>
      </c>
      <c r="G31" s="362"/>
      <c r="H31" s="362"/>
      <c r="I31" s="362"/>
    </row>
    <row r="32" spans="3:9" s="363" customFormat="1" ht="22.15" customHeight="1">
      <c r="C32" s="367" t="s">
        <v>395</v>
      </c>
      <c r="D32" s="374">
        <v>30000</v>
      </c>
      <c r="E32" s="366">
        <f>0.03*0.05*3*D32</f>
        <v>135.00000000000003</v>
      </c>
      <c r="F32" s="356">
        <v>222.2</v>
      </c>
      <c r="G32" s="362"/>
      <c r="H32" s="362"/>
      <c r="I32" s="362"/>
    </row>
    <row r="33" spans="3:9" s="363" customFormat="1" ht="22.15" customHeight="1">
      <c r="C33" s="367" t="s">
        <v>404</v>
      </c>
      <c r="D33" s="375">
        <v>25000</v>
      </c>
      <c r="E33" s="366">
        <f>0.04*0.04*2*D33</f>
        <v>80</v>
      </c>
      <c r="F33" s="356">
        <v>312.5</v>
      </c>
      <c r="G33" s="362"/>
      <c r="H33" s="362"/>
      <c r="I33" s="362"/>
    </row>
    <row r="34" spans="3:9" s="363" customFormat="1" ht="22.15" customHeight="1">
      <c r="C34" s="367" t="s">
        <v>396</v>
      </c>
      <c r="D34" s="374">
        <v>30000</v>
      </c>
      <c r="E34" s="366">
        <f>0.04*0.04*3*D34</f>
        <v>144</v>
      </c>
      <c r="F34" s="356">
        <v>208.3</v>
      </c>
      <c r="G34" s="362"/>
      <c r="H34" s="362"/>
      <c r="I34" s="362"/>
    </row>
    <row r="35" spans="3:9" s="363" customFormat="1" ht="22.15" customHeight="1">
      <c r="C35" s="367" t="s">
        <v>397</v>
      </c>
      <c r="D35" s="374">
        <v>30000</v>
      </c>
      <c r="E35" s="366">
        <f>0.04*0.05*3*D35</f>
        <v>180</v>
      </c>
      <c r="F35" s="356">
        <v>166.6</v>
      </c>
      <c r="G35" s="362"/>
      <c r="H35" s="362"/>
      <c r="I35" s="362"/>
    </row>
    <row r="36" spans="3:9" s="363" customFormat="1" ht="22.15" customHeight="1">
      <c r="C36" s="367" t="s">
        <v>9</v>
      </c>
      <c r="D36" s="374">
        <v>30000</v>
      </c>
      <c r="E36" s="366">
        <f>0.05*0.05*3*D36</f>
        <v>225.00000000000006</v>
      </c>
      <c r="F36" s="356">
        <v>133.30000000000001</v>
      </c>
      <c r="G36" s="362"/>
      <c r="H36" s="362"/>
      <c r="I36" s="362"/>
    </row>
    <row r="37" spans="3:9" s="371" customFormat="1" ht="22.15" customHeight="1" thickBot="1">
      <c r="C37" s="367" t="s">
        <v>398</v>
      </c>
      <c r="D37" s="374">
        <v>30000</v>
      </c>
      <c r="E37" s="366">
        <f>0.05*0.07*3*D37</f>
        <v>315.00000000000006</v>
      </c>
      <c r="F37" s="356">
        <v>95.2</v>
      </c>
      <c r="G37" s="370"/>
      <c r="H37" s="370"/>
      <c r="I37" s="370"/>
    </row>
    <row r="38" spans="3:9" s="9" customFormat="1" ht="25.9" customHeight="1" thickBot="1">
      <c r="C38" s="511" t="s">
        <v>763</v>
      </c>
      <c r="D38" s="512"/>
      <c r="E38" s="512"/>
      <c r="F38" s="513"/>
    </row>
    <row r="39" spans="3:9" s="9" customFormat="1" ht="21.6" customHeight="1">
      <c r="C39" s="367" t="s">
        <v>401</v>
      </c>
      <c r="D39" s="374">
        <v>10000</v>
      </c>
      <c r="E39" s="366">
        <f>0.02*0.045*3*D39</f>
        <v>27</v>
      </c>
      <c r="F39" s="356">
        <v>370.3</v>
      </c>
    </row>
    <row r="40" spans="3:9" s="9" customFormat="1" ht="21.6" customHeight="1">
      <c r="C40" s="367" t="s">
        <v>403</v>
      </c>
      <c r="D40" s="375">
        <v>10000</v>
      </c>
      <c r="E40" s="368">
        <v>35</v>
      </c>
      <c r="F40" s="356">
        <v>277.7</v>
      </c>
    </row>
    <row r="41" spans="3:9" s="9" customFormat="1" ht="21.6" customHeight="1">
      <c r="C41" s="367" t="s">
        <v>395</v>
      </c>
      <c r="D41" s="375">
        <v>10000</v>
      </c>
      <c r="E41" s="368">
        <v>45</v>
      </c>
      <c r="F41" s="356">
        <v>222.2</v>
      </c>
    </row>
    <row r="42" spans="3:9" s="9" customFormat="1" ht="21.6" customHeight="1">
      <c r="C42" s="367" t="s">
        <v>9</v>
      </c>
      <c r="D42" s="375">
        <v>10000</v>
      </c>
      <c r="E42" s="368">
        <v>75</v>
      </c>
      <c r="F42" s="356">
        <v>133.30000000000001</v>
      </c>
    </row>
    <row r="43" spans="3:9" s="9" customFormat="1" ht="21.6" customHeight="1" thickBot="1">
      <c r="C43" s="367" t="s">
        <v>398</v>
      </c>
      <c r="D43" s="375">
        <v>10000</v>
      </c>
      <c r="E43" s="368">
        <v>105</v>
      </c>
      <c r="F43" s="356">
        <v>95.2</v>
      </c>
    </row>
    <row r="44" spans="3:9" s="9" customFormat="1" ht="13.9" customHeight="1">
      <c r="C44" s="514" t="s">
        <v>405</v>
      </c>
      <c r="D44" s="515"/>
      <c r="E44" s="515"/>
      <c r="F44" s="516"/>
    </row>
    <row r="45" spans="3:9" s="9" customFormat="1" ht="13.9" customHeight="1" thickBot="1">
      <c r="C45" s="517" t="s">
        <v>733</v>
      </c>
      <c r="D45" s="518"/>
      <c r="E45" s="518"/>
      <c r="F45" s="519"/>
    </row>
  </sheetData>
  <mergeCells count="16">
    <mergeCell ref="C25:F25"/>
    <mergeCell ref="C38:F38"/>
    <mergeCell ref="C44:F44"/>
    <mergeCell ref="C45:F45"/>
    <mergeCell ref="C6:F6"/>
    <mergeCell ref="C8:F8"/>
    <mergeCell ref="C9:F9"/>
    <mergeCell ref="C27:F27"/>
    <mergeCell ref="C11:F11"/>
    <mergeCell ref="C19:F19"/>
    <mergeCell ref="C7:F7"/>
    <mergeCell ref="C1:F1"/>
    <mergeCell ref="C2:F2"/>
    <mergeCell ref="C3:F3"/>
    <mergeCell ref="C4:F4"/>
    <mergeCell ref="C5:F5"/>
  </mergeCells>
  <pageMargins left="0" right="0" top="0" bottom="0" header="0" footer="0"/>
  <pageSetup paperSize="9" scale="86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D4:J64"/>
  <sheetViews>
    <sheetView view="pageBreakPreview" zoomScale="55" zoomScaleSheetLayoutView="55" workbookViewId="0">
      <selection activeCell="J39" sqref="J39"/>
    </sheetView>
  </sheetViews>
  <sheetFormatPr defaultColWidth="9.140625" defaultRowHeight="20.25"/>
  <cols>
    <col min="1" max="1" width="9.140625" style="6"/>
    <col min="2" max="2" width="8" style="6" customWidth="1"/>
    <col min="3" max="3" width="9.140625" style="6" customWidth="1"/>
    <col min="4" max="4" width="104.85546875" style="6" customWidth="1"/>
    <col min="5" max="5" width="24.28515625" style="7" customWidth="1"/>
    <col min="6" max="6" width="25.5703125" style="6" customWidth="1"/>
    <col min="7" max="7" width="35.42578125" style="6" customWidth="1"/>
    <col min="8" max="8" width="23.42578125" style="6" customWidth="1"/>
    <col min="9" max="9" width="18.42578125" style="6" customWidth="1"/>
    <col min="10" max="10" width="28" style="6" customWidth="1"/>
    <col min="11" max="16384" width="9.140625" style="6"/>
  </cols>
  <sheetData>
    <row r="4" spans="4:10" ht="37.9" customHeight="1">
      <c r="D4" s="525" t="s">
        <v>0</v>
      </c>
      <c r="E4" s="525"/>
      <c r="F4" s="525"/>
      <c r="G4" s="525"/>
      <c r="H4" s="525"/>
      <c r="I4" s="525"/>
      <c r="J4" s="525"/>
    </row>
    <row r="5" spans="4:10" ht="37.9" customHeight="1">
      <c r="D5" s="498" t="s">
        <v>1</v>
      </c>
      <c r="E5" s="498"/>
      <c r="F5" s="498"/>
      <c r="G5" s="498"/>
      <c r="H5" s="498"/>
      <c r="I5" s="498"/>
      <c r="J5" s="498"/>
    </row>
    <row r="6" spans="4:10" ht="37.9" customHeight="1">
      <c r="D6" s="525" t="s">
        <v>2</v>
      </c>
      <c r="E6" s="525"/>
      <c r="F6" s="525"/>
      <c r="G6" s="525"/>
      <c r="H6" s="525"/>
      <c r="I6" s="525"/>
      <c r="J6" s="525"/>
    </row>
    <row r="7" spans="4:10" ht="37.9" customHeight="1">
      <c r="D7" s="525" t="s">
        <v>80</v>
      </c>
      <c r="E7" s="525"/>
      <c r="F7" s="525"/>
      <c r="G7" s="525"/>
      <c r="H7" s="525"/>
      <c r="I7" s="525"/>
      <c r="J7" s="525"/>
    </row>
    <row r="8" spans="4:10" ht="37.9" customHeight="1">
      <c r="D8" s="525" t="s">
        <v>830</v>
      </c>
      <c r="E8" s="525"/>
      <c r="F8" s="525"/>
      <c r="G8" s="525"/>
      <c r="H8" s="525"/>
      <c r="I8" s="525"/>
      <c r="J8" s="525"/>
    </row>
    <row r="9" spans="4:10" ht="37.9" customHeight="1">
      <c r="D9" s="525" t="s">
        <v>50</v>
      </c>
      <c r="E9" s="525"/>
      <c r="F9" s="525"/>
      <c r="G9" s="525"/>
      <c r="H9" s="525"/>
      <c r="I9" s="525"/>
      <c r="J9" s="525"/>
    </row>
    <row r="10" spans="4:10" ht="9" customHeight="1">
      <c r="E10" s="253"/>
      <c r="H10" s="10"/>
    </row>
    <row r="11" spans="4:10" ht="41.25" customHeight="1">
      <c r="D11" s="526" t="s">
        <v>33</v>
      </c>
      <c r="E11" s="526"/>
      <c r="F11" s="526"/>
      <c r="G11" s="526"/>
      <c r="H11" s="526"/>
      <c r="I11" s="526"/>
      <c r="J11" s="526"/>
    </row>
    <row r="12" spans="4:10" ht="41.25" customHeight="1">
      <c r="D12" s="506" t="s">
        <v>831</v>
      </c>
      <c r="E12" s="506"/>
      <c r="F12" s="506"/>
      <c r="G12" s="506"/>
      <c r="H12" s="506"/>
      <c r="I12" s="506"/>
      <c r="J12" s="506"/>
    </row>
    <row r="13" spans="4:10" ht="41.45" customHeight="1" thickBot="1">
      <c r="D13" s="527" t="s">
        <v>841</v>
      </c>
      <c r="E13" s="527"/>
      <c r="F13" s="527"/>
      <c r="G13" s="527"/>
      <c r="H13" s="527"/>
      <c r="I13" s="527"/>
      <c r="J13" s="527"/>
    </row>
    <row r="14" spans="4:10" ht="138" customHeight="1" thickBot="1">
      <c r="D14" s="134" t="s">
        <v>81</v>
      </c>
      <c r="E14" s="134" t="s">
        <v>82</v>
      </c>
      <c r="F14" s="135" t="s">
        <v>83</v>
      </c>
      <c r="G14" s="137" t="s">
        <v>84</v>
      </c>
      <c r="H14" s="135" t="s">
        <v>85</v>
      </c>
      <c r="I14" s="135" t="s">
        <v>86</v>
      </c>
      <c r="J14" s="135" t="s">
        <v>87</v>
      </c>
    </row>
    <row r="15" spans="4:10" s="26" customFormat="1" ht="44.25" customHeight="1">
      <c r="D15" s="185" t="s">
        <v>88</v>
      </c>
      <c r="E15" s="246"/>
      <c r="F15" s="243" t="s">
        <v>89</v>
      </c>
      <c r="G15" s="407" t="s">
        <v>90</v>
      </c>
      <c r="H15" s="60">
        <f>0.0125*0.096*2*10*J15</f>
        <v>552</v>
      </c>
      <c r="I15" s="60">
        <f>H15/1.8</f>
        <v>306.66666666666669</v>
      </c>
      <c r="J15" s="60">
        <v>23000</v>
      </c>
    </row>
    <row r="16" spans="4:10" s="238" customFormat="1" ht="44.25" customHeight="1">
      <c r="D16" s="150" t="s">
        <v>91</v>
      </c>
      <c r="E16" s="247"/>
      <c r="F16" s="244" t="s">
        <v>89</v>
      </c>
      <c r="G16" s="408" t="s">
        <v>92</v>
      </c>
      <c r="H16" s="57">
        <f>0.0125*0.096*2.1*10*J16</f>
        <v>579.60000000000014</v>
      </c>
      <c r="I16" s="57">
        <f>H16/1.89</f>
        <v>306.66666666666674</v>
      </c>
      <c r="J16" s="58">
        <v>23000</v>
      </c>
    </row>
    <row r="17" spans="4:10" s="238" customFormat="1" ht="44.25" customHeight="1">
      <c r="D17" s="242" t="s">
        <v>744</v>
      </c>
      <c r="E17" s="247"/>
      <c r="F17" s="147" t="s">
        <v>89</v>
      </c>
      <c r="G17" s="409" t="s">
        <v>745</v>
      </c>
      <c r="H17" s="57">
        <f>0.0125*0.096*2.3*10*J17</f>
        <v>634.79999999999995</v>
      </c>
      <c r="I17" s="57">
        <f>H17/2.07</f>
        <v>306.66666666666669</v>
      </c>
      <c r="J17" s="57">
        <v>23000</v>
      </c>
    </row>
    <row r="18" spans="4:10" s="238" customFormat="1" ht="44.25" customHeight="1">
      <c r="D18" s="242" t="s">
        <v>723</v>
      </c>
      <c r="E18" s="247"/>
      <c r="F18" s="147" t="s">
        <v>89</v>
      </c>
      <c r="G18" s="409" t="s">
        <v>106</v>
      </c>
      <c r="H18" s="57">
        <f>0.0125*0.096*2.4*10*J18</f>
        <v>662.40000000000009</v>
      </c>
      <c r="I18" s="57">
        <f>H18/2.16</f>
        <v>306.66666666666669</v>
      </c>
      <c r="J18" s="57">
        <v>23000</v>
      </c>
    </row>
    <row r="19" spans="4:10" s="238" customFormat="1" ht="44.25" customHeight="1">
      <c r="D19" s="241" t="s">
        <v>93</v>
      </c>
      <c r="E19" s="247"/>
      <c r="F19" s="240" t="s">
        <v>89</v>
      </c>
      <c r="G19" s="409" t="s">
        <v>94</v>
      </c>
      <c r="H19" s="57">
        <f>0.0125*0.096*2.5*10*J19</f>
        <v>690</v>
      </c>
      <c r="I19" s="57">
        <f>H19/2.47</f>
        <v>279.35222672064776</v>
      </c>
      <c r="J19" s="58">
        <v>23000</v>
      </c>
    </row>
    <row r="20" spans="4:10" ht="44.25" customHeight="1">
      <c r="D20" s="241" t="s">
        <v>722</v>
      </c>
      <c r="E20" s="247"/>
      <c r="F20" s="245" t="s">
        <v>89</v>
      </c>
      <c r="G20" s="159" t="s">
        <v>110</v>
      </c>
      <c r="H20" s="57">
        <f>0.0125*0.096*2.7*10*J20</f>
        <v>745.20000000000016</v>
      </c>
      <c r="I20" s="57">
        <f>H20/2.43</f>
        <v>306.66666666666669</v>
      </c>
      <c r="J20" s="57">
        <v>23000</v>
      </c>
    </row>
    <row r="21" spans="4:10" s="26" customFormat="1" ht="44.25" customHeight="1">
      <c r="D21" s="241" t="s">
        <v>95</v>
      </c>
      <c r="E21" s="247"/>
      <c r="F21" s="240" t="s">
        <v>89</v>
      </c>
      <c r="G21" s="409" t="s">
        <v>94</v>
      </c>
      <c r="H21" s="57">
        <f>0.0125*0.096*2.75*10*J21</f>
        <v>759</v>
      </c>
      <c r="I21" s="57">
        <f>H21/2.47</f>
        <v>307.28744939271252</v>
      </c>
      <c r="J21" s="57">
        <v>23000</v>
      </c>
    </row>
    <row r="22" spans="4:10" s="26" customFormat="1" ht="44.25" customHeight="1" thickBot="1">
      <c r="D22" s="241" t="s">
        <v>96</v>
      </c>
      <c r="E22" s="247"/>
      <c r="F22" s="240" t="s">
        <v>89</v>
      </c>
      <c r="G22" s="409" t="s">
        <v>97</v>
      </c>
      <c r="H22" s="261">
        <f>0.0125*0.096*3*10*J22</f>
        <v>828.00000000000011</v>
      </c>
      <c r="I22" s="58">
        <f>H22/2.7</f>
        <v>306.66666666666669</v>
      </c>
      <c r="J22" s="58">
        <v>23000</v>
      </c>
    </row>
    <row r="23" spans="4:10" s="238" customFormat="1" ht="44.25" customHeight="1">
      <c r="D23" s="185" t="s">
        <v>98</v>
      </c>
      <c r="E23" s="247"/>
      <c r="F23" s="243" t="s">
        <v>89</v>
      </c>
      <c r="G23" s="407" t="s">
        <v>90</v>
      </c>
      <c r="H23" s="60">
        <f>0.0125*0.096*2*10*J23</f>
        <v>792</v>
      </c>
      <c r="I23" s="60">
        <f>H23/1.8</f>
        <v>440</v>
      </c>
      <c r="J23" s="60">
        <v>33000</v>
      </c>
    </row>
    <row r="24" spans="4:10" s="238" customFormat="1" ht="44.25" customHeight="1">
      <c r="D24" s="150" t="s">
        <v>820</v>
      </c>
      <c r="E24" s="247"/>
      <c r="F24" s="244" t="s">
        <v>89</v>
      </c>
      <c r="G24" s="408" t="s">
        <v>92</v>
      </c>
      <c r="H24" s="57">
        <f>0.0125*0.096*2.1*10*J24</f>
        <v>831.60000000000025</v>
      </c>
      <c r="I24" s="57">
        <f>H24/1.89</f>
        <v>440.00000000000017</v>
      </c>
      <c r="J24" s="58">
        <v>33000</v>
      </c>
    </row>
    <row r="25" spans="4:10" s="238" customFormat="1" ht="44.25" customHeight="1">
      <c r="D25" s="241" t="s">
        <v>821</v>
      </c>
      <c r="E25" s="247"/>
      <c r="F25" s="240" t="s">
        <v>89</v>
      </c>
      <c r="G25" s="409" t="s">
        <v>94</v>
      </c>
      <c r="H25" s="57">
        <f>0.0125*0.096*2.5*10*J25</f>
        <v>990</v>
      </c>
      <c r="I25" s="57">
        <f>H25/2.47</f>
        <v>400.80971659919027</v>
      </c>
      <c r="J25" s="58">
        <v>33000</v>
      </c>
    </row>
    <row r="26" spans="4:10" s="238" customFormat="1" ht="44.25" customHeight="1">
      <c r="D26" s="241" t="s">
        <v>778</v>
      </c>
      <c r="E26" s="247"/>
      <c r="F26" s="245" t="s">
        <v>89</v>
      </c>
      <c r="G26" s="159" t="s">
        <v>110</v>
      </c>
      <c r="H26" s="57">
        <f>0.0125*0.096*2.7*10*J26</f>
        <v>1069.2000000000003</v>
      </c>
      <c r="I26" s="57">
        <f>H26/2.43</f>
        <v>440.00000000000006</v>
      </c>
      <c r="J26" s="57">
        <v>33000</v>
      </c>
    </row>
    <row r="27" spans="4:10" s="238" customFormat="1" ht="44.25" customHeight="1" thickBot="1">
      <c r="D27" s="430" t="s">
        <v>736</v>
      </c>
      <c r="E27" s="247"/>
      <c r="F27" s="429" t="s">
        <v>89</v>
      </c>
      <c r="G27" s="409" t="s">
        <v>97</v>
      </c>
      <c r="H27" s="57">
        <f t="shared" ref="H27:H46" si="0">0.0125*0.096*3*10*J27</f>
        <v>1188.0000000000002</v>
      </c>
      <c r="I27" s="57">
        <f>H27/2.7</f>
        <v>440.00000000000006</v>
      </c>
      <c r="J27" s="57">
        <v>33000</v>
      </c>
    </row>
    <row r="28" spans="4:10" s="238" customFormat="1" ht="44.25" customHeight="1">
      <c r="D28" s="150" t="s">
        <v>99</v>
      </c>
      <c r="E28" s="247"/>
      <c r="F28" s="147" t="s">
        <v>89</v>
      </c>
      <c r="G28" s="189" t="s">
        <v>100</v>
      </c>
      <c r="H28" s="60">
        <f>0.0125*0.096*1.5*10*J28</f>
        <v>630.00000000000011</v>
      </c>
      <c r="I28" s="60">
        <f>H28/1.35</f>
        <v>466.66666666666674</v>
      </c>
      <c r="J28" s="60">
        <v>35000</v>
      </c>
    </row>
    <row r="29" spans="4:10" s="26" customFormat="1" ht="44.25" customHeight="1">
      <c r="D29" s="150" t="s">
        <v>101</v>
      </c>
      <c r="E29" s="247"/>
      <c r="F29" s="147" t="s">
        <v>89</v>
      </c>
      <c r="G29" s="189" t="s">
        <v>102</v>
      </c>
      <c r="H29" s="57">
        <f>0.0125*0.096*1.8*10*J29</f>
        <v>756.00000000000011</v>
      </c>
      <c r="I29" s="57">
        <f>H29/1.62</f>
        <v>466.66666666666669</v>
      </c>
      <c r="J29" s="58">
        <v>35000</v>
      </c>
    </row>
    <row r="30" spans="4:10" s="26" customFormat="1" ht="44.25" customHeight="1">
      <c r="D30" s="242" t="s">
        <v>103</v>
      </c>
      <c r="E30" s="247"/>
      <c r="F30" s="147" t="s">
        <v>89</v>
      </c>
      <c r="G30" s="409" t="s">
        <v>90</v>
      </c>
      <c r="H30" s="57">
        <f>0.0125*0.096*2*10*J30</f>
        <v>840</v>
      </c>
      <c r="I30" s="57">
        <f>H30/1.8</f>
        <v>466.66666666666663</v>
      </c>
      <c r="J30" s="58">
        <v>35000</v>
      </c>
    </row>
    <row r="31" spans="4:10" s="26" customFormat="1" ht="44.25" customHeight="1">
      <c r="D31" s="242" t="s">
        <v>104</v>
      </c>
      <c r="E31" s="247"/>
      <c r="F31" s="147" t="s">
        <v>89</v>
      </c>
      <c r="G31" s="409" t="s">
        <v>92</v>
      </c>
      <c r="H31" s="57">
        <f>0.0125*0.096*2.1*10*J31</f>
        <v>882.00000000000023</v>
      </c>
      <c r="I31" s="57">
        <f>H31/1.89</f>
        <v>466.6666666666668</v>
      </c>
      <c r="J31" s="58">
        <v>35000</v>
      </c>
    </row>
    <row r="32" spans="4:10" s="26" customFormat="1" ht="44.25" customHeight="1">
      <c r="D32" s="242" t="s">
        <v>818</v>
      </c>
      <c r="E32" s="247"/>
      <c r="F32" s="147" t="s">
        <v>89</v>
      </c>
      <c r="G32" s="409" t="s">
        <v>745</v>
      </c>
      <c r="H32" s="57">
        <f>0.0125*0.096*2.3*10*J32</f>
        <v>966</v>
      </c>
      <c r="I32" s="57">
        <f>H32/2.07</f>
        <v>466.66666666666669</v>
      </c>
      <c r="J32" s="57">
        <v>35000</v>
      </c>
    </row>
    <row r="33" spans="4:10" s="26" customFormat="1" ht="44.25" customHeight="1">
      <c r="D33" s="242" t="s">
        <v>105</v>
      </c>
      <c r="E33" s="247"/>
      <c r="F33" s="147" t="s">
        <v>89</v>
      </c>
      <c r="G33" s="409" t="s">
        <v>106</v>
      </c>
      <c r="H33" s="57">
        <f>0.0125*0.096*2.4*10*J33</f>
        <v>1008.0000000000001</v>
      </c>
      <c r="I33" s="57">
        <f>H33/2.16</f>
        <v>466.66666666666669</v>
      </c>
      <c r="J33" s="58">
        <v>35000</v>
      </c>
    </row>
    <row r="34" spans="4:10" s="26" customFormat="1" ht="44.25" customHeight="1">
      <c r="D34" s="242" t="s">
        <v>107</v>
      </c>
      <c r="E34" s="247"/>
      <c r="F34" s="147" t="s">
        <v>89</v>
      </c>
      <c r="G34" s="409" t="s">
        <v>108</v>
      </c>
      <c r="H34" s="57">
        <f>0.0125*0.096*2.55*10*J34</f>
        <v>1071</v>
      </c>
      <c r="I34" s="57">
        <f>H34/2.295</f>
        <v>466.66666666666669</v>
      </c>
      <c r="J34" s="58">
        <v>35000</v>
      </c>
    </row>
    <row r="35" spans="4:10" ht="44.25" customHeight="1">
      <c r="D35" s="241" t="s">
        <v>109</v>
      </c>
      <c r="E35" s="247"/>
      <c r="F35" s="245" t="s">
        <v>89</v>
      </c>
      <c r="G35" s="159" t="s">
        <v>110</v>
      </c>
      <c r="H35" s="57">
        <f>0.0125*0.096*2.7*10*J35</f>
        <v>1134.0000000000002</v>
      </c>
      <c r="I35" s="57">
        <f>H35/2.43</f>
        <v>466.66666666666674</v>
      </c>
      <c r="J35" s="57">
        <v>35000</v>
      </c>
    </row>
    <row r="36" spans="4:10" ht="44.25" customHeight="1">
      <c r="D36" s="241" t="s">
        <v>34</v>
      </c>
      <c r="E36" s="247"/>
      <c r="F36" s="245" t="s">
        <v>89</v>
      </c>
      <c r="G36" s="159" t="s">
        <v>725</v>
      </c>
      <c r="H36" s="57">
        <f>0.0125*0.096*2.8*10*J36</f>
        <v>1176.0000000000002</v>
      </c>
      <c r="I36" s="57">
        <f>H36/2.52</f>
        <v>466.66666666666674</v>
      </c>
      <c r="J36" s="57">
        <v>35000</v>
      </c>
    </row>
    <row r="37" spans="4:10" s="26" customFormat="1" ht="44.25" customHeight="1">
      <c r="D37" s="241" t="s">
        <v>35</v>
      </c>
      <c r="E37" s="247"/>
      <c r="F37" s="245" t="s">
        <v>89</v>
      </c>
      <c r="G37" s="159" t="s">
        <v>97</v>
      </c>
      <c r="H37" s="57">
        <f t="shared" si="0"/>
        <v>1260.0000000000002</v>
      </c>
      <c r="I37" s="57">
        <f>H37/2.7</f>
        <v>466.66666666666674</v>
      </c>
      <c r="J37" s="57">
        <v>35000</v>
      </c>
    </row>
    <row r="38" spans="4:10" ht="44.25" customHeight="1" thickBot="1">
      <c r="D38" s="440" t="s">
        <v>735</v>
      </c>
      <c r="E38" s="247"/>
      <c r="F38" s="355" t="s">
        <v>89</v>
      </c>
      <c r="G38" s="441" t="s">
        <v>120</v>
      </c>
      <c r="H38" s="442">
        <f>0.0125*0.096*6*10*J38</f>
        <v>2520.0000000000005</v>
      </c>
      <c r="I38" s="442">
        <f>H38/5.4</f>
        <v>466.66666666666674</v>
      </c>
      <c r="J38" s="442">
        <v>35000</v>
      </c>
    </row>
    <row r="39" spans="4:10" ht="44.25" customHeight="1">
      <c r="D39" s="185" t="s">
        <v>112</v>
      </c>
      <c r="E39" s="246"/>
      <c r="F39" s="243" t="s">
        <v>89</v>
      </c>
      <c r="G39" s="407" t="s">
        <v>90</v>
      </c>
      <c r="H39" s="60">
        <f>0.0125*0.096*2*10*J39</f>
        <v>912</v>
      </c>
      <c r="I39" s="60">
        <f>H39/1.8</f>
        <v>506.66666666666663</v>
      </c>
      <c r="J39" s="61">
        <v>38000</v>
      </c>
    </row>
    <row r="40" spans="4:10" ht="44.25" customHeight="1">
      <c r="D40" s="150" t="s">
        <v>113</v>
      </c>
      <c r="E40" s="247"/>
      <c r="F40" s="244" t="s">
        <v>89</v>
      </c>
      <c r="G40" s="408" t="s">
        <v>92</v>
      </c>
      <c r="H40" s="57">
        <f>0.0125*0.096*2.1*10*J40</f>
        <v>957.60000000000025</v>
      </c>
      <c r="I40" s="57">
        <f>H40/1.89</f>
        <v>506.6666666666668</v>
      </c>
      <c r="J40" s="59">
        <v>38000</v>
      </c>
    </row>
    <row r="41" spans="4:10" ht="44.25" customHeight="1">
      <c r="D41" s="242" t="s">
        <v>114</v>
      </c>
      <c r="E41" s="247"/>
      <c r="F41" s="244" t="s">
        <v>89</v>
      </c>
      <c r="G41" s="408" t="s">
        <v>108</v>
      </c>
      <c r="H41" s="57">
        <f>0.0125*0.096*2.5*10*J41</f>
        <v>1140</v>
      </c>
      <c r="I41" s="57">
        <f>H41/2.295</f>
        <v>496.73202614379085</v>
      </c>
      <c r="J41" s="59">
        <v>38000</v>
      </c>
    </row>
    <row r="42" spans="4:10" ht="44.25" customHeight="1">
      <c r="D42" s="242" t="s">
        <v>115</v>
      </c>
      <c r="E42" s="247"/>
      <c r="F42" s="244" t="s">
        <v>89</v>
      </c>
      <c r="G42" s="408" t="s">
        <v>108</v>
      </c>
      <c r="H42" s="57">
        <f>0.0125*0.096*2.55*10*J42</f>
        <v>1162.8000000000002</v>
      </c>
      <c r="I42" s="57">
        <f>H42/2.295</f>
        <v>506.66666666666674</v>
      </c>
      <c r="J42" s="59">
        <v>38000</v>
      </c>
    </row>
    <row r="43" spans="4:10" ht="44.25" customHeight="1">
      <c r="D43" s="241" t="s">
        <v>779</v>
      </c>
      <c r="E43" s="247"/>
      <c r="F43" s="245" t="s">
        <v>89</v>
      </c>
      <c r="G43" s="159" t="s">
        <v>110</v>
      </c>
      <c r="H43" s="57">
        <f>0.0125*0.096*2.7*10*J43</f>
        <v>1231.2000000000003</v>
      </c>
      <c r="I43" s="57">
        <f>H43/2.43</f>
        <v>506.66666666666674</v>
      </c>
      <c r="J43" s="57">
        <v>38000</v>
      </c>
    </row>
    <row r="44" spans="4:10" ht="44.25" customHeight="1">
      <c r="D44" s="242" t="s">
        <v>116</v>
      </c>
      <c r="E44" s="247"/>
      <c r="F44" s="244" t="s">
        <v>89</v>
      </c>
      <c r="G44" s="408" t="s">
        <v>772</v>
      </c>
      <c r="H44" s="57">
        <f>0.0125*0.096*2.75*10*J44</f>
        <v>1254</v>
      </c>
      <c r="I44" s="57">
        <f>H44/2.475</f>
        <v>506.66666666666663</v>
      </c>
      <c r="J44" s="59">
        <v>38000</v>
      </c>
    </row>
    <row r="45" spans="4:10" ht="44.25" customHeight="1">
      <c r="D45" s="241" t="s">
        <v>117</v>
      </c>
      <c r="E45" s="247"/>
      <c r="F45" s="240" t="s">
        <v>118</v>
      </c>
      <c r="G45" s="409" t="s">
        <v>106</v>
      </c>
      <c r="H45" s="57">
        <f>0.0125*0.096*3*8*J45</f>
        <v>1094.4000000000001</v>
      </c>
      <c r="I45" s="57">
        <f>H45/2.16</f>
        <v>506.66666666666669</v>
      </c>
      <c r="J45" s="187">
        <v>38000</v>
      </c>
    </row>
    <row r="46" spans="4:10" s="26" customFormat="1" ht="44.25" customHeight="1">
      <c r="D46" s="241" t="s">
        <v>117</v>
      </c>
      <c r="E46" s="247"/>
      <c r="F46" s="240" t="s">
        <v>89</v>
      </c>
      <c r="G46" s="409" t="s">
        <v>97</v>
      </c>
      <c r="H46" s="57">
        <f t="shared" si="0"/>
        <v>1368.0000000000002</v>
      </c>
      <c r="I46" s="57">
        <f>H46/2.7</f>
        <v>506.66666666666674</v>
      </c>
      <c r="J46" s="187">
        <v>38000</v>
      </c>
    </row>
    <row r="47" spans="4:10" s="238" customFormat="1" ht="44.25" customHeight="1" thickBot="1">
      <c r="D47" s="443" t="s">
        <v>119</v>
      </c>
      <c r="E47" s="260"/>
      <c r="F47" s="444" t="s">
        <v>89</v>
      </c>
      <c r="G47" s="445" t="s">
        <v>111</v>
      </c>
      <c r="H47" s="446">
        <f>0.0125*0.096*4*10*J47</f>
        <v>1824</v>
      </c>
      <c r="I47" s="446">
        <f>H47/3.52</f>
        <v>518.18181818181813</v>
      </c>
      <c r="J47" s="446">
        <v>38000</v>
      </c>
    </row>
    <row r="48" spans="4:10" ht="27.6" customHeight="1">
      <c r="D48" s="14"/>
      <c r="E48" s="25"/>
      <c r="F48" s="14"/>
      <c r="G48" s="14"/>
      <c r="H48" s="18"/>
      <c r="I48" s="18"/>
      <c r="J48" s="18"/>
    </row>
    <row r="49" spans="4:10" ht="48.6" customHeight="1">
      <c r="D49" s="526" t="s">
        <v>121</v>
      </c>
      <c r="E49" s="526"/>
      <c r="F49" s="526"/>
      <c r="G49" s="526"/>
      <c r="H49" s="526"/>
      <c r="I49" s="526"/>
      <c r="J49" s="526"/>
    </row>
    <row r="50" spans="4:10" ht="37.9" customHeight="1" thickBot="1">
      <c r="D50" s="14"/>
      <c r="E50" s="25"/>
      <c r="F50" s="14"/>
      <c r="G50" s="14"/>
      <c r="H50" s="18"/>
      <c r="I50" s="18"/>
      <c r="J50" s="18"/>
    </row>
    <row r="51" spans="4:10" ht="100.15" customHeight="1" thickBot="1">
      <c r="D51" s="134" t="s">
        <v>122</v>
      </c>
      <c r="E51" s="134" t="s">
        <v>82</v>
      </c>
      <c r="F51" s="135" t="s">
        <v>83</v>
      </c>
      <c r="G51" s="135" t="s">
        <v>84</v>
      </c>
      <c r="H51" s="135" t="s">
        <v>132</v>
      </c>
      <c r="I51" s="135" t="s">
        <v>86</v>
      </c>
      <c r="J51" s="135" t="s">
        <v>87</v>
      </c>
    </row>
    <row r="52" spans="4:10" ht="43.5" customHeight="1">
      <c r="D52" s="150" t="s">
        <v>737</v>
      </c>
      <c r="E52" s="177"/>
      <c r="F52" s="147" t="s">
        <v>124</v>
      </c>
      <c r="G52" s="156" t="s">
        <v>804</v>
      </c>
      <c r="H52" s="59">
        <f>0.013*0.123*6*J52</f>
        <v>364.572</v>
      </c>
      <c r="I52" s="148">
        <f>H52*7/4.914</f>
        <v>519.33333333333337</v>
      </c>
      <c r="J52" s="58">
        <v>38000</v>
      </c>
    </row>
    <row r="53" spans="4:10" ht="43.5" customHeight="1">
      <c r="D53" s="150" t="s">
        <v>738</v>
      </c>
      <c r="E53" s="177"/>
      <c r="F53" s="147" t="s">
        <v>124</v>
      </c>
      <c r="G53" s="156" t="s">
        <v>805</v>
      </c>
      <c r="H53" s="59">
        <f>0.013*0.123*5*J53</f>
        <v>303.81</v>
      </c>
      <c r="I53" s="148">
        <f>H53*7/4.095</f>
        <v>519.33333333333337</v>
      </c>
      <c r="J53" s="58">
        <v>38000</v>
      </c>
    </row>
    <row r="54" spans="4:10" ht="43.5" customHeight="1">
      <c r="D54" s="150" t="s">
        <v>807</v>
      </c>
      <c r="E54" s="177"/>
      <c r="F54" s="147" t="s">
        <v>124</v>
      </c>
      <c r="G54" s="156" t="s">
        <v>808</v>
      </c>
      <c r="H54" s="59">
        <f>0.013*0.123*4*J54</f>
        <v>243.048</v>
      </c>
      <c r="I54" s="148">
        <f>H54*7/3.276</f>
        <v>519.33333333333337</v>
      </c>
      <c r="J54" s="58">
        <v>38000</v>
      </c>
    </row>
    <row r="55" spans="4:10" ht="43.5" customHeight="1" thickBot="1">
      <c r="D55" s="150" t="s">
        <v>123</v>
      </c>
      <c r="E55" s="177"/>
      <c r="F55" s="147" t="s">
        <v>124</v>
      </c>
      <c r="G55" s="156" t="s">
        <v>806</v>
      </c>
      <c r="H55" s="59">
        <f>0.013*0.123*3*J55</f>
        <v>182.286</v>
      </c>
      <c r="I55" s="148">
        <f>H55*7/2.457</f>
        <v>519.33333333333337</v>
      </c>
      <c r="J55" s="58">
        <v>38000</v>
      </c>
    </row>
    <row r="56" spans="4:10" ht="30.75" thickBot="1">
      <c r="D56" s="508" t="s">
        <v>732</v>
      </c>
      <c r="E56" s="509"/>
      <c r="F56" s="509"/>
      <c r="G56" s="509"/>
      <c r="H56" s="509"/>
      <c r="I56" s="509"/>
      <c r="J56" s="510"/>
    </row>
    <row r="57" spans="4:10">
      <c r="E57" s="6"/>
    </row>
    <row r="58" spans="4:10">
      <c r="E58" s="6"/>
    </row>
    <row r="59" spans="4:10">
      <c r="E59" s="6"/>
    </row>
    <row r="60" spans="4:10">
      <c r="E60" s="6"/>
    </row>
    <row r="61" spans="4:10">
      <c r="E61" s="6"/>
    </row>
    <row r="62" spans="4:10">
      <c r="E62" s="6"/>
    </row>
    <row r="63" spans="4:10">
      <c r="E63" s="6"/>
    </row>
    <row r="64" spans="4:10">
      <c r="E64" s="6"/>
    </row>
  </sheetData>
  <mergeCells count="11">
    <mergeCell ref="D56:J56"/>
    <mergeCell ref="D4:J4"/>
    <mergeCell ref="D5:J5"/>
    <mergeCell ref="D6:J6"/>
    <mergeCell ref="D7:J7"/>
    <mergeCell ref="D8:J8"/>
    <mergeCell ref="D9:J9"/>
    <mergeCell ref="D11:J11"/>
    <mergeCell ref="D49:J49"/>
    <mergeCell ref="D13:J13"/>
    <mergeCell ref="D12:J12"/>
  </mergeCells>
  <pageMargins left="0" right="0" top="0.19685039370078741" bottom="0" header="0" footer="0"/>
  <pageSetup paperSize="9" scale="3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52"/>
  <sheetViews>
    <sheetView workbookViewId="0">
      <selection activeCell="D7" sqref="D7"/>
    </sheetView>
  </sheetViews>
  <sheetFormatPr defaultColWidth="9.140625" defaultRowHeight="20.25"/>
  <cols>
    <col min="1" max="1" width="8.140625" style="25" customWidth="1"/>
    <col min="2" max="2" width="43.140625" style="110" customWidth="1"/>
    <col min="3" max="3" width="36.7109375" style="14" customWidth="1"/>
    <col min="4" max="4" width="13" style="25" customWidth="1"/>
    <col min="5" max="5" width="23.42578125" style="25" customWidth="1"/>
    <col min="6" max="6" width="18.42578125" style="25" customWidth="1"/>
    <col min="7" max="7" width="28" style="25" customWidth="1"/>
    <col min="8" max="16384" width="9.140625" style="25"/>
  </cols>
  <sheetData>
    <row r="1" spans="2:7" s="6" customFormat="1" ht="15" customHeight="1">
      <c r="B1" s="528" t="s">
        <v>126</v>
      </c>
      <c r="C1" s="528"/>
      <c r="D1" s="528"/>
    </row>
    <row r="2" spans="2:7" s="6" customFormat="1" ht="15" customHeight="1">
      <c r="B2" s="528" t="s">
        <v>1</v>
      </c>
      <c r="C2" s="528"/>
      <c r="D2" s="528"/>
    </row>
    <row r="3" spans="2:7" s="6" customFormat="1" ht="15" customHeight="1">
      <c r="B3" s="528" t="s">
        <v>2</v>
      </c>
      <c r="C3" s="528"/>
      <c r="D3" s="528"/>
    </row>
    <row r="4" spans="2:7" s="6" customFormat="1" ht="15" customHeight="1">
      <c r="B4" s="528" t="s">
        <v>252</v>
      </c>
      <c r="C4" s="528"/>
      <c r="D4" s="528"/>
      <c r="G4" s="7"/>
    </row>
    <row r="5" spans="2:7" s="6" customFormat="1" ht="15" customHeight="1">
      <c r="B5" s="528" t="s">
        <v>830</v>
      </c>
      <c r="C5" s="528"/>
      <c r="D5" s="528"/>
      <c r="G5" s="7"/>
    </row>
    <row r="6" spans="2:7" s="6" customFormat="1" ht="15" customHeight="1">
      <c r="B6" s="528" t="s">
        <v>50</v>
      </c>
      <c r="C6" s="528"/>
      <c r="D6" s="528"/>
      <c r="E6" s="10"/>
    </row>
    <row r="7" spans="2:7" s="6" customFormat="1" ht="18.600000000000001" customHeight="1">
      <c r="B7" s="533"/>
      <c r="C7" s="533"/>
      <c r="D7" s="253"/>
      <c r="E7" s="10"/>
    </row>
    <row r="8" spans="2:7" ht="25.9" customHeight="1">
      <c r="B8" s="505" t="s">
        <v>353</v>
      </c>
      <c r="C8" s="505"/>
      <c r="D8" s="505"/>
      <c r="E8" s="53"/>
    </row>
    <row r="9" spans="2:7" ht="16.899999999999999" customHeight="1">
      <c r="B9" s="524" t="s">
        <v>831</v>
      </c>
      <c r="C9" s="524"/>
      <c r="D9" s="524"/>
      <c r="E9" s="456"/>
    </row>
    <row r="10" spans="2:7" ht="15" customHeight="1" thickBot="1">
      <c r="B10" s="529" t="s">
        <v>816</v>
      </c>
      <c r="C10" s="529"/>
      <c r="D10" s="529"/>
      <c r="E10" s="53"/>
    </row>
    <row r="11" spans="2:7" ht="22.15" customHeight="1" thickBot="1">
      <c r="B11" s="138" t="s">
        <v>5</v>
      </c>
      <c r="C11" s="138" t="s">
        <v>216</v>
      </c>
      <c r="D11" s="146" t="s">
        <v>354</v>
      </c>
    </row>
    <row r="12" spans="2:7" ht="19.5" customHeight="1" thickBot="1">
      <c r="B12" s="530" t="s">
        <v>355</v>
      </c>
      <c r="C12" s="531"/>
      <c r="D12" s="532"/>
    </row>
    <row r="13" spans="2:7" ht="19.5" customHeight="1">
      <c r="B13" s="111" t="s">
        <v>356</v>
      </c>
      <c r="C13" s="25"/>
      <c r="D13" s="27">
        <f>0.016*0.094*20*75000</f>
        <v>2256</v>
      </c>
    </row>
    <row r="14" spans="2:7" ht="19.5" customHeight="1">
      <c r="B14" s="114" t="s">
        <v>357</v>
      </c>
      <c r="C14" s="25"/>
      <c r="D14" s="11">
        <f>0.016*0.094*21*75000</f>
        <v>2368.8000000000002</v>
      </c>
    </row>
    <row r="15" spans="2:7" ht="19.5" customHeight="1">
      <c r="B15" s="114" t="s">
        <v>358</v>
      </c>
      <c r="C15" s="25"/>
      <c r="D15" s="11">
        <f>0.016*0.094*22*75000</f>
        <v>2481.6000000000004</v>
      </c>
    </row>
    <row r="16" spans="2:7" ht="19.5" customHeight="1">
      <c r="B16" s="114" t="s">
        <v>359</v>
      </c>
      <c r="C16" s="25"/>
      <c r="D16" s="11">
        <f>0.016*0.094*23*75000</f>
        <v>2594.4000000000005</v>
      </c>
    </row>
    <row r="17" spans="2:4" ht="19.5" customHeight="1">
      <c r="B17" s="114" t="s">
        <v>360</v>
      </c>
      <c r="C17" s="25"/>
      <c r="D17" s="11">
        <f>0.016*0.094*24*75000</f>
        <v>2707.2000000000003</v>
      </c>
    </row>
    <row r="18" spans="2:4" ht="19.5" customHeight="1">
      <c r="B18" s="114" t="s">
        <v>361</v>
      </c>
      <c r="C18" s="25"/>
      <c r="D18" s="11">
        <f>0.016*0.094*25*75000</f>
        <v>2820</v>
      </c>
    </row>
    <row r="19" spans="2:4" s="108" customFormat="1" ht="19.5" customHeight="1">
      <c r="B19" s="114" t="s">
        <v>362</v>
      </c>
      <c r="C19" s="25"/>
      <c r="D19" s="11">
        <f>0.016*0.094*27*75000</f>
        <v>3045.6000000000004</v>
      </c>
    </row>
    <row r="20" spans="2:4" s="108" customFormat="1" ht="19.5" customHeight="1">
      <c r="B20" s="114" t="s">
        <v>363</v>
      </c>
      <c r="C20" s="25"/>
      <c r="D20" s="11">
        <f>0.016*0.094*30*75000</f>
        <v>3384.0000000000005</v>
      </c>
    </row>
    <row r="21" spans="2:4" s="108" customFormat="1" ht="18" customHeight="1">
      <c r="B21" s="114" t="s">
        <v>364</v>
      </c>
      <c r="C21" s="25"/>
      <c r="D21" s="11">
        <f>0.016*0.094*20*51000</f>
        <v>1534.0800000000002</v>
      </c>
    </row>
    <row r="22" spans="2:4" s="108" customFormat="1" ht="19.5" customHeight="1">
      <c r="B22" s="114" t="s">
        <v>365</v>
      </c>
      <c r="C22" s="25"/>
      <c r="D22" s="11">
        <f>0.016*0.094*21*51000</f>
        <v>1610.7840000000001</v>
      </c>
    </row>
    <row r="23" spans="2:4" s="108" customFormat="1" ht="19.5" customHeight="1">
      <c r="B23" s="114" t="s">
        <v>366</v>
      </c>
      <c r="C23" s="25"/>
      <c r="D23" s="11">
        <f>0.016*0.094*22*51000</f>
        <v>1687.4880000000003</v>
      </c>
    </row>
    <row r="24" spans="2:4" s="108" customFormat="1" ht="19.5" customHeight="1">
      <c r="B24" s="114" t="s">
        <v>367</v>
      </c>
      <c r="C24" s="25"/>
      <c r="D24" s="11">
        <f>0.016*0.094*23*51000</f>
        <v>1764.1920000000002</v>
      </c>
    </row>
    <row r="25" spans="2:4" s="108" customFormat="1" ht="19.5" customHeight="1">
      <c r="B25" s="114" t="s">
        <v>368</v>
      </c>
      <c r="C25" s="25"/>
      <c r="D25" s="11">
        <f>0.016*0.094*24*51000</f>
        <v>1840.8960000000002</v>
      </c>
    </row>
    <row r="26" spans="2:4" s="108" customFormat="1" ht="19.5" customHeight="1">
      <c r="B26" s="114" t="s">
        <v>369</v>
      </c>
      <c r="C26" s="25"/>
      <c r="D26" s="11">
        <f>0.016*0.094*25*51000</f>
        <v>1917.6000000000001</v>
      </c>
    </row>
    <row r="27" spans="2:4" s="108" customFormat="1" ht="19.5" customHeight="1">
      <c r="B27" s="114" t="s">
        <v>370</v>
      </c>
      <c r="C27" s="25"/>
      <c r="D27" s="11">
        <f>0.016*0.094*27*51000</f>
        <v>2071.0080000000003</v>
      </c>
    </row>
    <row r="28" spans="2:4" s="108" customFormat="1" ht="19.5" customHeight="1" thickBot="1">
      <c r="B28" s="113" t="s">
        <v>371</v>
      </c>
      <c r="C28" s="28"/>
      <c r="D28" s="11">
        <f>0.016*0.094*30*51000</f>
        <v>2301.1200000000003</v>
      </c>
    </row>
    <row r="29" spans="2:4" s="108" customFormat="1" ht="17.25" customHeight="1" thickBot="1">
      <c r="B29" s="530" t="s">
        <v>730</v>
      </c>
      <c r="C29" s="531"/>
      <c r="D29" s="532"/>
    </row>
    <row r="30" spans="2:4" s="108" customFormat="1" ht="30" customHeight="1">
      <c r="B30" s="111" t="s">
        <v>729</v>
      </c>
      <c r="C30" s="104"/>
      <c r="D30" s="27">
        <v>150</v>
      </c>
    </row>
    <row r="31" spans="2:4" s="108" customFormat="1" ht="30" customHeight="1">
      <c r="B31" s="114" t="s">
        <v>782</v>
      </c>
      <c r="C31" s="105"/>
      <c r="D31" s="11">
        <v>220</v>
      </c>
    </row>
    <row r="32" spans="2:4" s="108" customFormat="1" ht="30" customHeight="1">
      <c r="B32" s="114" t="s">
        <v>372</v>
      </c>
      <c r="C32" s="105"/>
      <c r="D32" s="11">
        <v>240</v>
      </c>
    </row>
    <row r="33" spans="2:4" s="108" customFormat="1" ht="30" customHeight="1">
      <c r="B33" s="114" t="s">
        <v>373</v>
      </c>
      <c r="C33" s="105"/>
      <c r="D33" s="11">
        <v>220</v>
      </c>
    </row>
    <row r="34" spans="2:4" s="108" customFormat="1" ht="30" customHeight="1" thickBot="1">
      <c r="B34" s="116" t="s">
        <v>374</v>
      </c>
      <c r="C34" s="109"/>
      <c r="D34" s="183">
        <v>240</v>
      </c>
    </row>
    <row r="35" spans="2:4" ht="18" customHeight="1" thickBot="1">
      <c r="B35" s="530" t="s">
        <v>375</v>
      </c>
      <c r="C35" s="531"/>
      <c r="D35" s="532"/>
    </row>
    <row r="36" spans="2:4" ht="22.9" customHeight="1">
      <c r="B36" s="111" t="s">
        <v>376</v>
      </c>
      <c r="C36" s="105"/>
      <c r="D36" s="27">
        <v>250</v>
      </c>
    </row>
    <row r="37" spans="2:4" ht="27.6" customHeight="1" thickBot="1">
      <c r="B37" s="412" t="s">
        <v>783</v>
      </c>
      <c r="C37" s="105"/>
      <c r="D37" s="133">
        <v>450</v>
      </c>
    </row>
    <row r="38" spans="2:4" ht="16.5" customHeight="1" thickBot="1">
      <c r="B38" s="530" t="s">
        <v>377</v>
      </c>
      <c r="C38" s="531"/>
      <c r="D38" s="532"/>
    </row>
    <row r="39" spans="2:4" ht="18" customHeight="1">
      <c r="B39" s="223" t="s">
        <v>378</v>
      </c>
      <c r="C39" s="221"/>
      <c r="D39" s="27">
        <v>170</v>
      </c>
    </row>
    <row r="40" spans="2:4" ht="18" customHeight="1">
      <c r="B40" s="223" t="s">
        <v>781</v>
      </c>
      <c r="C40" s="221"/>
      <c r="D40" s="12">
        <v>175</v>
      </c>
    </row>
    <row r="41" spans="2:4" ht="18" customHeight="1">
      <c r="B41" s="224" t="s">
        <v>379</v>
      </c>
      <c r="C41" s="221"/>
      <c r="D41" s="11">
        <v>190</v>
      </c>
    </row>
    <row r="42" spans="2:4" ht="18" customHeight="1" thickBot="1">
      <c r="B42" s="222" t="s">
        <v>380</v>
      </c>
      <c r="C42" s="25"/>
      <c r="D42" s="131">
        <v>210</v>
      </c>
    </row>
    <row r="43" spans="2:4" ht="18.75" customHeight="1" thickBot="1">
      <c r="B43" s="530" t="s">
        <v>381</v>
      </c>
      <c r="C43" s="531"/>
      <c r="D43" s="532"/>
    </row>
    <row r="44" spans="2:4" ht="16.899999999999999" customHeight="1">
      <c r="B44" s="171" t="s">
        <v>382</v>
      </c>
      <c r="C44" s="104"/>
      <c r="D44" s="27">
        <f>0.028*0.092*2*80000</f>
        <v>412.16</v>
      </c>
    </row>
    <row r="45" spans="2:4" ht="16.899999999999999" customHeight="1">
      <c r="B45" s="171" t="s">
        <v>383</v>
      </c>
      <c r="C45" s="105"/>
      <c r="D45" s="11">
        <f>0.028*0.092*2.1*80000</f>
        <v>432.76800000000003</v>
      </c>
    </row>
    <row r="46" spans="2:4" ht="16.899999999999999" customHeight="1">
      <c r="B46" s="171" t="s">
        <v>384</v>
      </c>
      <c r="C46" s="105"/>
      <c r="D46" s="11">
        <f>0.028*0.092*2.2*80000</f>
        <v>453.37600000000003</v>
      </c>
    </row>
    <row r="47" spans="2:4" ht="16.899999999999999" customHeight="1">
      <c r="B47" s="171" t="s">
        <v>385</v>
      </c>
      <c r="C47" s="105"/>
      <c r="D47" s="11">
        <f>0.028*0.092*2.3*80000</f>
        <v>473.98399999999998</v>
      </c>
    </row>
    <row r="48" spans="2:4" ht="16.899999999999999" customHeight="1">
      <c r="B48" s="171" t="s">
        <v>386</v>
      </c>
      <c r="C48" s="105"/>
      <c r="D48" s="11">
        <f>0.028*0.092*2.4*80000</f>
        <v>494.59200000000004</v>
      </c>
    </row>
    <row r="49" spans="2:4" ht="16.899999999999999" customHeight="1">
      <c r="B49" s="171" t="s">
        <v>387</v>
      </c>
      <c r="C49" s="105"/>
      <c r="D49" s="11">
        <f>0.028*0.092*2.5*80000</f>
        <v>515.20000000000005</v>
      </c>
    </row>
    <row r="50" spans="2:4" ht="16.899999999999999" customHeight="1">
      <c r="B50" s="171" t="s">
        <v>388</v>
      </c>
      <c r="C50" s="105"/>
      <c r="D50" s="11">
        <f>0.028*0.092*2.7*80000</f>
        <v>556.41600000000005</v>
      </c>
    </row>
    <row r="51" spans="2:4" ht="16.899999999999999" customHeight="1" thickBot="1">
      <c r="B51" s="171" t="s">
        <v>389</v>
      </c>
      <c r="C51" s="109"/>
      <c r="D51" s="411">
        <f>0.028*0.092*3*80000</f>
        <v>618.24</v>
      </c>
    </row>
    <row r="52" spans="2:4" ht="13.15" customHeight="1" thickBot="1">
      <c r="B52" s="534" t="s">
        <v>732</v>
      </c>
      <c r="C52" s="535"/>
      <c r="D52" s="536"/>
    </row>
  </sheetData>
  <mergeCells count="16">
    <mergeCell ref="B29:D29"/>
    <mergeCell ref="B35:D35"/>
    <mergeCell ref="B38:D38"/>
    <mergeCell ref="B43:D43"/>
    <mergeCell ref="B52:D52"/>
    <mergeCell ref="B6:D6"/>
    <mergeCell ref="B8:D8"/>
    <mergeCell ref="B10:D10"/>
    <mergeCell ref="B12:D12"/>
    <mergeCell ref="B1:D1"/>
    <mergeCell ref="B2:D2"/>
    <mergeCell ref="B3:D3"/>
    <mergeCell ref="B4:D4"/>
    <mergeCell ref="B5:D5"/>
    <mergeCell ref="B7:C7"/>
    <mergeCell ref="B9:D9"/>
  </mergeCells>
  <pageMargins left="0.15748031496062992" right="0.27559055118110237" top="0.19685039370078741" bottom="0.23622047244094491" header="0.15748031496062992" footer="0.19685039370078741"/>
  <pageSetup paperSize="9" scale="84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C3:L35"/>
  <sheetViews>
    <sheetView view="pageBreakPreview" zoomScale="55" zoomScaleSheetLayoutView="55" workbookViewId="0">
      <selection activeCell="E20" sqref="E20"/>
    </sheetView>
  </sheetViews>
  <sheetFormatPr defaultColWidth="9.140625" defaultRowHeight="20.25"/>
  <cols>
    <col min="1" max="1" width="25.28515625" style="6" customWidth="1"/>
    <col min="2" max="2" width="26.42578125" style="6" customWidth="1"/>
    <col min="3" max="3" width="83.140625" style="6" customWidth="1"/>
    <col min="4" max="4" width="23.140625" style="7" customWidth="1"/>
    <col min="5" max="5" width="21.28515625" style="6" customWidth="1"/>
    <col min="6" max="6" width="24" style="6" customWidth="1"/>
    <col min="7" max="7" width="19.28515625" style="6" customWidth="1"/>
    <col min="8" max="8" width="19.140625" style="6" customWidth="1"/>
    <col min="9" max="9" width="22.7109375" style="6" customWidth="1"/>
    <col min="10" max="10" width="7" style="6" customWidth="1"/>
    <col min="11" max="16384" width="9.140625" style="6"/>
  </cols>
  <sheetData>
    <row r="3" spans="3:12" ht="30.75">
      <c r="C3" s="31"/>
      <c r="D3" s="249"/>
      <c r="E3" s="31"/>
      <c r="F3" s="31"/>
      <c r="G3" s="31"/>
      <c r="H3" s="31"/>
      <c r="I3" s="31"/>
    </row>
    <row r="4" spans="3:12" ht="24" customHeight="1">
      <c r="C4" s="504" t="s">
        <v>126</v>
      </c>
      <c r="D4" s="504"/>
      <c r="E4" s="504"/>
      <c r="F4" s="504"/>
      <c r="G4" s="504"/>
      <c r="H4" s="504"/>
      <c r="I4" s="504"/>
    </row>
    <row r="5" spans="3:12" ht="24" customHeight="1">
      <c r="C5" s="505" t="s">
        <v>1</v>
      </c>
      <c r="D5" s="505"/>
      <c r="E5" s="505"/>
      <c r="F5" s="505"/>
      <c r="G5" s="505"/>
      <c r="H5" s="505"/>
      <c r="I5" s="505"/>
    </row>
    <row r="6" spans="3:12" ht="24" customHeight="1">
      <c r="C6" s="504" t="s">
        <v>127</v>
      </c>
      <c r="D6" s="504"/>
      <c r="E6" s="504"/>
      <c r="F6" s="504"/>
      <c r="G6" s="504"/>
      <c r="H6" s="504"/>
      <c r="I6" s="504"/>
    </row>
    <row r="7" spans="3:12" ht="24" customHeight="1">
      <c r="C7" s="504" t="s">
        <v>128</v>
      </c>
      <c r="D7" s="504"/>
      <c r="E7" s="504"/>
      <c r="F7" s="504"/>
      <c r="G7" s="504"/>
      <c r="H7" s="504"/>
      <c r="I7" s="504"/>
    </row>
    <row r="8" spans="3:12" ht="24" customHeight="1">
      <c r="C8" s="504" t="s">
        <v>830</v>
      </c>
      <c r="D8" s="504"/>
      <c r="E8" s="504"/>
      <c r="F8" s="504"/>
      <c r="G8" s="504"/>
      <c r="H8" s="504"/>
      <c r="I8" s="504"/>
    </row>
    <row r="9" spans="3:12" ht="24" customHeight="1">
      <c r="C9" s="504" t="s">
        <v>50</v>
      </c>
      <c r="D9" s="504"/>
      <c r="E9" s="504"/>
      <c r="F9" s="504"/>
      <c r="G9" s="504"/>
      <c r="H9" s="504"/>
      <c r="I9" s="504"/>
    </row>
    <row r="10" spans="3:12" ht="18.75" customHeight="1">
      <c r="G10" s="10"/>
      <c r="H10" s="14"/>
    </row>
    <row r="11" spans="3:12" ht="40.9" customHeight="1">
      <c r="C11" s="498" t="s">
        <v>30</v>
      </c>
      <c r="D11" s="498"/>
      <c r="E11" s="498"/>
      <c r="F11" s="498"/>
      <c r="G11" s="498"/>
      <c r="H11" s="498"/>
      <c r="I11" s="498"/>
      <c r="J11" s="266"/>
      <c r="K11" s="266"/>
      <c r="L11" s="266"/>
    </row>
    <row r="12" spans="3:12" ht="27.6" customHeight="1">
      <c r="C12" s="506" t="s">
        <v>831</v>
      </c>
      <c r="D12" s="506"/>
      <c r="E12" s="506"/>
      <c r="F12" s="506"/>
      <c r="G12" s="506"/>
      <c r="H12" s="506"/>
      <c r="I12" s="506"/>
      <c r="J12" s="266"/>
      <c r="K12" s="266"/>
      <c r="L12" s="266"/>
    </row>
    <row r="13" spans="3:12" ht="23.45" customHeight="1" thickBot="1">
      <c r="C13" s="527" t="s">
        <v>841</v>
      </c>
      <c r="D13" s="527"/>
      <c r="E13" s="527"/>
      <c r="F13" s="527"/>
      <c r="G13" s="527"/>
      <c r="H13" s="527"/>
      <c r="I13" s="527"/>
    </row>
    <row r="14" spans="3:12" ht="74.25" customHeight="1" thickBot="1">
      <c r="C14" s="134" t="s">
        <v>129</v>
      </c>
      <c r="D14" s="136" t="s">
        <v>82</v>
      </c>
      <c r="E14" s="135" t="s">
        <v>130</v>
      </c>
      <c r="F14" s="137" t="s">
        <v>131</v>
      </c>
      <c r="G14" s="135" t="s">
        <v>132</v>
      </c>
      <c r="H14" s="137" t="s">
        <v>86</v>
      </c>
      <c r="I14" s="135" t="s">
        <v>87</v>
      </c>
    </row>
    <row r="15" spans="3:12" s="66" customFormat="1" ht="29.25" customHeight="1">
      <c r="C15" s="62" t="s">
        <v>741</v>
      </c>
      <c r="D15" s="63"/>
      <c r="E15" s="62" t="s">
        <v>133</v>
      </c>
      <c r="F15" s="63" t="s">
        <v>134</v>
      </c>
      <c r="G15" s="232">
        <f>0.028*0.145*6*I15</f>
        <v>633.3599999999999</v>
      </c>
      <c r="H15" s="65">
        <f>G15*1.23</f>
        <v>779.03279999999984</v>
      </c>
      <c r="I15" s="64">
        <v>26000</v>
      </c>
    </row>
    <row r="16" spans="3:12" s="66" customFormat="1" ht="29.25" customHeight="1">
      <c r="C16" s="62" t="s">
        <v>742</v>
      </c>
      <c r="D16" s="63"/>
      <c r="E16" s="62" t="s">
        <v>133</v>
      </c>
      <c r="F16" s="63" t="s">
        <v>135</v>
      </c>
      <c r="G16" s="64">
        <f>0.038*0.143*6*I16</f>
        <v>815.09999999999991</v>
      </c>
      <c r="H16" s="65">
        <f>G16*1.23</f>
        <v>1002.5729999999999</v>
      </c>
      <c r="I16" s="64">
        <v>25000</v>
      </c>
    </row>
    <row r="17" spans="3:9" s="66" customFormat="1" ht="33" customHeight="1" thickBot="1">
      <c r="C17" s="437" t="s">
        <v>743</v>
      </c>
      <c r="D17" s="75"/>
      <c r="E17" s="74" t="s">
        <v>136</v>
      </c>
      <c r="F17" s="75" t="s">
        <v>137</v>
      </c>
      <c r="G17" s="202">
        <f>0.038*0.19*6*I17</f>
        <v>1083</v>
      </c>
      <c r="H17" s="76">
        <f>G17*0.9</f>
        <v>974.7</v>
      </c>
      <c r="I17" s="202">
        <v>25000</v>
      </c>
    </row>
    <row r="18" spans="3:9" s="66" customFormat="1" ht="29.25" customHeight="1">
      <c r="C18" s="62" t="s">
        <v>31</v>
      </c>
      <c r="D18" s="63"/>
      <c r="E18" s="62" t="s">
        <v>133</v>
      </c>
      <c r="F18" s="63" t="s">
        <v>134</v>
      </c>
      <c r="G18" s="64">
        <f>0.028*0.145*6*I18</f>
        <v>828.2399999999999</v>
      </c>
      <c r="H18" s="65">
        <f>G18*1.23</f>
        <v>1018.7351999999998</v>
      </c>
      <c r="I18" s="64">
        <v>34000</v>
      </c>
    </row>
    <row r="19" spans="3:9" s="66" customFormat="1" ht="35.25" customHeight="1">
      <c r="C19" s="262" t="s">
        <v>138</v>
      </c>
      <c r="D19" s="68"/>
      <c r="E19" s="67" t="s">
        <v>136</v>
      </c>
      <c r="F19" s="68" t="s">
        <v>137</v>
      </c>
      <c r="G19" s="64">
        <f>0.038*0.19*6*I19</f>
        <v>1429.56</v>
      </c>
      <c r="H19" s="65">
        <f>G19*0.9</f>
        <v>1286.604</v>
      </c>
      <c r="I19" s="64">
        <v>33000</v>
      </c>
    </row>
    <row r="20" spans="3:9" s="66" customFormat="1" ht="35.25" customHeight="1" thickBot="1">
      <c r="C20" s="263" t="s">
        <v>139</v>
      </c>
      <c r="D20" s="75"/>
      <c r="E20" s="74" t="s">
        <v>136</v>
      </c>
      <c r="F20" s="75" t="s">
        <v>137</v>
      </c>
      <c r="G20" s="202">
        <f>0.038*0.19*6*I20</f>
        <v>1429.56</v>
      </c>
      <c r="H20" s="76">
        <f>G20*0.9</f>
        <v>1286.604</v>
      </c>
      <c r="I20" s="202">
        <v>33000</v>
      </c>
    </row>
    <row r="21" spans="3:9" ht="15" customHeight="1">
      <c r="C21" s="17"/>
      <c r="D21" s="14"/>
      <c r="E21" s="14"/>
      <c r="F21" s="14"/>
      <c r="G21" s="18"/>
      <c r="H21" s="18"/>
      <c r="I21" s="18"/>
    </row>
    <row r="22" spans="3:9" ht="38.25" customHeight="1">
      <c r="C22" s="498" t="s">
        <v>36</v>
      </c>
      <c r="D22" s="498"/>
      <c r="E22" s="498"/>
      <c r="F22" s="498"/>
      <c r="G22" s="498"/>
      <c r="H22" s="498"/>
      <c r="I22" s="498"/>
    </row>
    <row r="23" spans="3:9" ht="18" customHeight="1" thickBot="1">
      <c r="C23" s="17"/>
      <c r="D23" s="355"/>
      <c r="E23" s="14"/>
      <c r="F23" s="14"/>
      <c r="G23" s="18"/>
      <c r="H23" s="18"/>
      <c r="I23" s="18"/>
    </row>
    <row r="24" spans="3:9" ht="73.5" customHeight="1" thickBot="1">
      <c r="C24" s="134" t="s">
        <v>140</v>
      </c>
      <c r="D24" s="136" t="s">
        <v>82</v>
      </c>
      <c r="E24" s="135" t="s">
        <v>130</v>
      </c>
      <c r="F24" s="137" t="s">
        <v>131</v>
      </c>
      <c r="G24" s="135" t="s">
        <v>132</v>
      </c>
      <c r="H24" s="137" t="s">
        <v>86</v>
      </c>
      <c r="I24" s="135" t="s">
        <v>87</v>
      </c>
    </row>
    <row r="25" spans="3:9" ht="31.15" customHeight="1">
      <c r="C25" s="62" t="s">
        <v>141</v>
      </c>
      <c r="D25" s="169"/>
      <c r="E25" s="62" t="s">
        <v>142</v>
      </c>
      <c r="F25" s="63" t="s">
        <v>143</v>
      </c>
      <c r="G25" s="64">
        <f>0.02*0.095*3*I25</f>
        <v>148.20000000000002</v>
      </c>
      <c r="H25" s="65">
        <f>G25*3.7</f>
        <v>548.34000000000015</v>
      </c>
      <c r="I25" s="64">
        <v>26000</v>
      </c>
    </row>
    <row r="26" spans="3:9" ht="31.15" customHeight="1">
      <c r="C26" s="78" t="s">
        <v>37</v>
      </c>
      <c r="D26" s="169"/>
      <c r="E26" s="179" t="s">
        <v>133</v>
      </c>
      <c r="F26" s="68" t="s">
        <v>144</v>
      </c>
      <c r="G26" s="64">
        <f>0.028*0.14*6*I26</f>
        <v>611.52000000000021</v>
      </c>
      <c r="H26" s="65">
        <f>G26*1.23</f>
        <v>752.16960000000029</v>
      </c>
      <c r="I26" s="69">
        <v>26000</v>
      </c>
    </row>
    <row r="27" spans="3:9" ht="31.15" customHeight="1">
      <c r="C27" s="393" t="s">
        <v>817</v>
      </c>
      <c r="D27" s="218"/>
      <c r="E27" s="393" t="s">
        <v>150</v>
      </c>
      <c r="F27" s="196" t="s">
        <v>769</v>
      </c>
      <c r="G27" s="198">
        <f>0.035*0.14*5*I27</f>
        <v>490.00000000000011</v>
      </c>
      <c r="H27" s="343">
        <v>725</v>
      </c>
      <c r="I27" s="197">
        <v>20000</v>
      </c>
    </row>
    <row r="28" spans="3:9" ht="31.15" customHeight="1">
      <c r="C28" s="67" t="s">
        <v>38</v>
      </c>
      <c r="D28" s="169"/>
      <c r="E28" s="67" t="s">
        <v>133</v>
      </c>
      <c r="F28" s="68" t="s">
        <v>145</v>
      </c>
      <c r="G28" s="64">
        <f>0.038*0.14*6*I28</f>
        <v>798.00000000000011</v>
      </c>
      <c r="H28" s="65">
        <f>G28*1.23</f>
        <v>981.54000000000008</v>
      </c>
      <c r="I28" s="69">
        <v>25000</v>
      </c>
    </row>
    <row r="29" spans="3:9" ht="30.6" customHeight="1" thickBot="1">
      <c r="C29" s="79" t="s">
        <v>39</v>
      </c>
      <c r="D29" s="169"/>
      <c r="E29" s="79" t="s">
        <v>133</v>
      </c>
      <c r="F29" s="208" t="s">
        <v>145</v>
      </c>
      <c r="G29" s="64">
        <f>0.047*0.145*6*I29</f>
        <v>1022.2499999999999</v>
      </c>
      <c r="H29" s="76">
        <f>G29*1.23</f>
        <v>1257.3674999999998</v>
      </c>
      <c r="I29" s="202">
        <v>25000</v>
      </c>
    </row>
    <row r="30" spans="3:9" s="66" customFormat="1" ht="29.25" customHeight="1">
      <c r="C30" s="174" t="s">
        <v>146</v>
      </c>
      <c r="D30" s="169"/>
      <c r="E30" s="178" t="s">
        <v>142</v>
      </c>
      <c r="F30" s="63" t="s">
        <v>143</v>
      </c>
      <c r="G30" s="64">
        <f>0.02*0.095*3*I30</f>
        <v>193.8</v>
      </c>
      <c r="H30" s="65">
        <f>G30*3.7</f>
        <v>717.06000000000006</v>
      </c>
      <c r="I30" s="64">
        <v>34000</v>
      </c>
    </row>
    <row r="31" spans="3:9" s="66" customFormat="1" ht="29.25" customHeight="1">
      <c r="C31" s="78" t="s">
        <v>147</v>
      </c>
      <c r="D31" s="169"/>
      <c r="E31" s="179" t="s">
        <v>133</v>
      </c>
      <c r="F31" s="68" t="s">
        <v>144</v>
      </c>
      <c r="G31" s="64">
        <f t="shared" ref="G31" si="0">0.028*0.14*6*I31</f>
        <v>799.68000000000018</v>
      </c>
      <c r="H31" s="65">
        <f>G31*1.23</f>
        <v>983.60640000000024</v>
      </c>
      <c r="I31" s="64">
        <v>34000</v>
      </c>
    </row>
    <row r="32" spans="3:9" s="66" customFormat="1" ht="29.25" customHeight="1">
      <c r="C32" s="435" t="s">
        <v>148</v>
      </c>
      <c r="D32" s="218"/>
      <c r="E32" s="473" t="s">
        <v>149</v>
      </c>
      <c r="F32" s="196" t="s">
        <v>134</v>
      </c>
      <c r="G32" s="198">
        <f>0.028*0.146*6*I32</f>
        <v>784.89599999999996</v>
      </c>
      <c r="H32" s="343">
        <f>G32*1.19</f>
        <v>934.02623999999992</v>
      </c>
      <c r="I32" s="197">
        <v>32000</v>
      </c>
    </row>
    <row r="33" spans="3:9" s="66" customFormat="1" ht="29.25" customHeight="1">
      <c r="C33" s="78" t="s">
        <v>152</v>
      </c>
      <c r="D33" s="169"/>
      <c r="E33" s="179" t="s">
        <v>133</v>
      </c>
      <c r="F33" s="68" t="s">
        <v>145</v>
      </c>
      <c r="G33" s="64">
        <f>0.038*0.14*6*I33</f>
        <v>1053.3600000000001</v>
      </c>
      <c r="H33" s="65">
        <f>G33*1.23</f>
        <v>1295.6328000000001</v>
      </c>
      <c r="I33" s="69">
        <v>33000</v>
      </c>
    </row>
    <row r="34" spans="3:9" s="66" customFormat="1" ht="29.25" customHeight="1" thickBot="1">
      <c r="C34" s="209" t="s">
        <v>153</v>
      </c>
      <c r="D34" s="79"/>
      <c r="E34" s="349" t="s">
        <v>149</v>
      </c>
      <c r="F34" s="75" t="s">
        <v>154</v>
      </c>
      <c r="G34" s="64">
        <f>0.047*0.145*6*I34</f>
        <v>1349.37</v>
      </c>
      <c r="H34" s="76">
        <f>G34*1.19</f>
        <v>1605.7502999999997</v>
      </c>
      <c r="I34" s="76">
        <v>33000</v>
      </c>
    </row>
    <row r="35" spans="3:9" ht="26.25" thickBot="1">
      <c r="C35" s="500" t="s">
        <v>732</v>
      </c>
      <c r="D35" s="501"/>
      <c r="E35" s="501"/>
      <c r="F35" s="501"/>
      <c r="G35" s="501"/>
      <c r="H35" s="501"/>
      <c r="I35" s="502"/>
    </row>
  </sheetData>
  <mergeCells count="11">
    <mergeCell ref="C4:I4"/>
    <mergeCell ref="C5:I5"/>
    <mergeCell ref="C6:I6"/>
    <mergeCell ref="C7:I7"/>
    <mergeCell ref="C8:I8"/>
    <mergeCell ref="C11:I11"/>
    <mergeCell ref="C13:I13"/>
    <mergeCell ref="C22:I22"/>
    <mergeCell ref="C35:I35"/>
    <mergeCell ref="C9:I9"/>
    <mergeCell ref="C12:I12"/>
  </mergeCells>
  <pageMargins left="0.15748031496062992" right="0.15748031496062992" top="0.15748031496062992" bottom="0.15748031496062992" header="0.15748031496062992" footer="0.15748031496062992"/>
  <pageSetup paperSize="9" scale="5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1"/>
  <sheetViews>
    <sheetView zoomScale="85" zoomScaleNormal="85" workbookViewId="0">
      <selection activeCell="K21" sqref="K21"/>
    </sheetView>
  </sheetViews>
  <sheetFormatPr defaultColWidth="9.140625" defaultRowHeight="23.25"/>
  <cols>
    <col min="1" max="1" width="18.7109375" style="20" customWidth="1"/>
    <col min="2" max="2" width="35.7109375" style="20" customWidth="1"/>
    <col min="3" max="3" width="24.42578125" style="20" customWidth="1"/>
    <col min="4" max="4" width="16" style="20" customWidth="1"/>
    <col min="5" max="5" width="22.5703125" style="20" customWidth="1"/>
    <col min="6" max="6" width="14.42578125" style="20" customWidth="1"/>
    <col min="7" max="7" width="12.5703125" style="20" customWidth="1"/>
    <col min="8" max="8" width="16.42578125" style="20" customWidth="1"/>
    <col min="9" max="16384" width="9.140625" style="20"/>
  </cols>
  <sheetData>
    <row r="1" spans="2:10" s="2" customFormat="1" ht="18" customHeight="1">
      <c r="B1" s="542" t="s">
        <v>126</v>
      </c>
      <c r="C1" s="542"/>
      <c r="D1" s="542"/>
      <c r="E1" s="542"/>
      <c r="F1" s="542"/>
      <c r="G1" s="542"/>
      <c r="H1" s="19"/>
    </row>
    <row r="2" spans="2:10" s="2" customFormat="1" ht="18" customHeight="1">
      <c r="B2" s="544" t="s">
        <v>1</v>
      </c>
      <c r="C2" s="544"/>
      <c r="D2" s="544"/>
      <c r="E2" s="544"/>
      <c r="F2" s="544"/>
      <c r="G2" s="544"/>
      <c r="H2" s="544"/>
    </row>
    <row r="3" spans="2:10" s="2" customFormat="1" ht="18" customHeight="1">
      <c r="B3" s="542" t="s">
        <v>2</v>
      </c>
      <c r="C3" s="542"/>
      <c r="D3" s="542"/>
      <c r="E3" s="542"/>
      <c r="F3" s="542"/>
      <c r="G3" s="542"/>
      <c r="H3" s="542"/>
    </row>
    <row r="4" spans="2:10" s="2" customFormat="1" ht="18" customHeight="1">
      <c r="B4" s="542" t="s">
        <v>190</v>
      </c>
      <c r="C4" s="542"/>
      <c r="D4" s="542"/>
      <c r="E4" s="542"/>
      <c r="F4" s="542"/>
      <c r="G4" s="542"/>
      <c r="H4" s="542"/>
    </row>
    <row r="5" spans="2:10" s="2" customFormat="1" ht="21" customHeight="1">
      <c r="B5" s="542" t="s">
        <v>830</v>
      </c>
      <c r="C5" s="542"/>
      <c r="D5" s="542"/>
      <c r="E5" s="542"/>
      <c r="F5" s="542"/>
      <c r="G5" s="542"/>
      <c r="H5" s="542"/>
    </row>
    <row r="6" spans="2:10" s="2" customFormat="1" ht="20.45" customHeight="1">
      <c r="B6" s="542" t="s">
        <v>50</v>
      </c>
      <c r="C6" s="542"/>
      <c r="D6" s="542"/>
      <c r="E6" s="542"/>
      <c r="F6" s="542"/>
      <c r="G6" s="542"/>
      <c r="H6" s="542"/>
    </row>
    <row r="7" spans="2:10" s="2" customFormat="1" ht="25.9" customHeight="1">
      <c r="B7" s="251"/>
      <c r="C7" s="251"/>
      <c r="D7" s="543"/>
      <c r="E7" s="543"/>
      <c r="F7" s="543"/>
      <c r="G7" s="543"/>
      <c r="H7" s="543"/>
      <c r="I7" s="267"/>
      <c r="J7" s="267"/>
    </row>
    <row r="8" spans="2:10" s="2" customFormat="1" ht="24" customHeight="1">
      <c r="B8" s="540" t="s">
        <v>191</v>
      </c>
      <c r="C8" s="540"/>
      <c r="D8" s="540"/>
      <c r="E8" s="540"/>
      <c r="F8" s="540"/>
      <c r="G8" s="540"/>
      <c r="H8" s="540"/>
    </row>
    <row r="9" spans="2:10" s="2" customFormat="1" ht="18" customHeight="1">
      <c r="B9" s="545" t="s">
        <v>831</v>
      </c>
      <c r="C9" s="545"/>
      <c r="D9" s="545"/>
      <c r="E9" s="545"/>
      <c r="F9" s="545"/>
      <c r="G9" s="545"/>
      <c r="H9" s="545"/>
    </row>
    <row r="10" spans="2:10" s="2" customFormat="1" ht="18.600000000000001" customHeight="1" thickBot="1">
      <c r="B10" s="541" t="s">
        <v>841</v>
      </c>
      <c r="C10" s="541"/>
      <c r="D10" s="541"/>
      <c r="E10" s="541"/>
      <c r="F10" s="541"/>
      <c r="G10" s="541"/>
      <c r="H10" s="541"/>
    </row>
    <row r="11" spans="2:10" s="2" customFormat="1" ht="58.15" customHeight="1" thickBot="1">
      <c r="B11" s="252" t="s">
        <v>192</v>
      </c>
      <c r="C11" s="173" t="s">
        <v>82</v>
      </c>
      <c r="D11" s="99" t="s">
        <v>83</v>
      </c>
      <c r="E11" s="139" t="s">
        <v>84</v>
      </c>
      <c r="F11" s="99" t="s">
        <v>132</v>
      </c>
      <c r="G11" s="139" t="s">
        <v>193</v>
      </c>
      <c r="H11" s="100" t="s">
        <v>194</v>
      </c>
    </row>
    <row r="12" spans="2:10" s="30" customFormat="1" ht="20.45" customHeight="1">
      <c r="B12" s="464" t="s">
        <v>196</v>
      </c>
      <c r="C12" s="103"/>
      <c r="D12" s="420" t="s">
        <v>125</v>
      </c>
      <c r="E12" s="420" t="s">
        <v>786</v>
      </c>
      <c r="F12" s="415">
        <f>0.016*0.145*3*H12</f>
        <v>174</v>
      </c>
      <c r="G12" s="415">
        <f>F12*6/2.52</f>
        <v>414.28571428571428</v>
      </c>
      <c r="H12" s="11">
        <v>25000</v>
      </c>
    </row>
    <row r="13" spans="2:10" s="2" customFormat="1" ht="20.45" customHeight="1">
      <c r="B13" s="469" t="s">
        <v>197</v>
      </c>
      <c r="C13" s="103"/>
      <c r="D13" s="55" t="s">
        <v>125</v>
      </c>
      <c r="E13" s="55" t="s">
        <v>791</v>
      </c>
      <c r="F13" s="417">
        <f>0.018*0.145*6*H13</f>
        <v>391.49999999999994</v>
      </c>
      <c r="G13" s="417">
        <f>F13*6/4.97</f>
        <v>472.63581488933596</v>
      </c>
      <c r="H13" s="12">
        <v>25000</v>
      </c>
    </row>
    <row r="14" spans="2:10" s="2" customFormat="1" ht="20.45" customHeight="1" thickBot="1">
      <c r="B14" s="469" t="s">
        <v>809</v>
      </c>
      <c r="C14" s="424"/>
      <c r="D14" s="420" t="s">
        <v>198</v>
      </c>
      <c r="E14" s="420" t="s">
        <v>793</v>
      </c>
      <c r="F14" s="415">
        <f>0.02*0.145*3*H14</f>
        <v>217.49999999999997</v>
      </c>
      <c r="G14" s="415">
        <f>F14*5/2.025</f>
        <v>537.03703703703695</v>
      </c>
      <c r="H14" s="12">
        <v>25000</v>
      </c>
    </row>
    <row r="15" spans="2:10" s="2" customFormat="1" ht="20.45" customHeight="1">
      <c r="B15" s="470" t="s">
        <v>756</v>
      </c>
      <c r="C15" s="425"/>
      <c r="D15" s="421" t="s">
        <v>198</v>
      </c>
      <c r="E15" s="421" t="s">
        <v>199</v>
      </c>
      <c r="F15" s="410">
        <f>0.018*0.146*6*H15</f>
        <v>346.89599999999996</v>
      </c>
      <c r="G15" s="410">
        <f>F15*5/4.2</f>
        <v>412.97142857142853</v>
      </c>
      <c r="H15" s="348">
        <v>22000</v>
      </c>
    </row>
    <row r="16" spans="2:10" s="2" customFormat="1" ht="20.45" customHeight="1" thickBot="1">
      <c r="B16" s="471" t="s">
        <v>840</v>
      </c>
      <c r="C16" s="426"/>
      <c r="D16" s="422" t="s">
        <v>209</v>
      </c>
      <c r="E16" s="422" t="s">
        <v>757</v>
      </c>
      <c r="F16" s="416">
        <f>0.021*0.146*6*H16</f>
        <v>404.71200000000005</v>
      </c>
      <c r="G16" s="416">
        <f>F16*4/3.36</f>
        <v>481.80000000000007</v>
      </c>
      <c r="H16" s="418">
        <v>22000</v>
      </c>
    </row>
    <row r="17" spans="2:8" s="30" customFormat="1" ht="20.45" customHeight="1">
      <c r="B17" s="464" t="s">
        <v>200</v>
      </c>
      <c r="C17" s="438"/>
      <c r="D17" s="102" t="s">
        <v>125</v>
      </c>
      <c r="E17" s="102" t="s">
        <v>786</v>
      </c>
      <c r="F17" s="414">
        <f>0.016*0.145*3*H17</f>
        <v>264.48</v>
      </c>
      <c r="G17" s="414">
        <f>F17*6/2.52</f>
        <v>629.71428571428578</v>
      </c>
      <c r="H17" s="27">
        <v>38000</v>
      </c>
    </row>
    <row r="18" spans="2:8" s="2" customFormat="1" ht="20.45" customHeight="1">
      <c r="B18" s="469" t="s">
        <v>201</v>
      </c>
      <c r="C18" s="427"/>
      <c r="D18" s="420" t="s">
        <v>125</v>
      </c>
      <c r="E18" s="420" t="s">
        <v>787</v>
      </c>
      <c r="F18" s="415">
        <f>0.016*0.145*4*H18</f>
        <v>352.64</v>
      </c>
      <c r="G18" s="417">
        <f>F18*6/3.36</f>
        <v>629.71428571428578</v>
      </c>
      <c r="H18" s="12">
        <v>38000</v>
      </c>
    </row>
    <row r="19" spans="2:8" s="2" customFormat="1" ht="20.45" customHeight="1">
      <c r="B19" s="469" t="s">
        <v>202</v>
      </c>
      <c r="C19" s="427"/>
      <c r="D19" s="420" t="s">
        <v>125</v>
      </c>
      <c r="E19" s="420" t="s">
        <v>788</v>
      </c>
      <c r="F19" s="415">
        <f>0.016*0.145*5*H19</f>
        <v>440.79999999999995</v>
      </c>
      <c r="G19" s="417">
        <f>F19*6/4.2</f>
        <v>629.71428571428567</v>
      </c>
      <c r="H19" s="12">
        <v>38000</v>
      </c>
    </row>
    <row r="20" spans="2:8" s="2" customFormat="1" ht="20.45" customHeight="1" thickBot="1">
      <c r="B20" s="472" t="s">
        <v>203</v>
      </c>
      <c r="C20" s="439"/>
      <c r="D20" s="423" t="s">
        <v>125</v>
      </c>
      <c r="E20" s="423" t="s">
        <v>789</v>
      </c>
      <c r="F20" s="419">
        <f>0.016*0.145*6*H20</f>
        <v>528.96</v>
      </c>
      <c r="G20" s="419">
        <f>F20*6/5.04</f>
        <v>629.71428571428578</v>
      </c>
      <c r="H20" s="131">
        <v>38000</v>
      </c>
    </row>
    <row r="21" spans="2:8" s="2" customFormat="1" ht="20.45" customHeight="1">
      <c r="B21" s="464" t="s">
        <v>46</v>
      </c>
      <c r="C21" s="428"/>
      <c r="D21" s="102" t="s">
        <v>195</v>
      </c>
      <c r="E21" s="102" t="s">
        <v>790</v>
      </c>
      <c r="F21" s="414">
        <f>0.018*0.096*4*H21</f>
        <v>262.65600000000001</v>
      </c>
      <c r="G21" s="414">
        <f>F21*10/3.6</f>
        <v>729.6</v>
      </c>
      <c r="H21" s="27">
        <v>38000</v>
      </c>
    </row>
    <row r="22" spans="2:8" s="2" customFormat="1" ht="20.45" customHeight="1">
      <c r="B22" s="469" t="s">
        <v>204</v>
      </c>
      <c r="C22" s="103"/>
      <c r="D22" s="420" t="s">
        <v>125</v>
      </c>
      <c r="E22" s="420" t="s">
        <v>791</v>
      </c>
      <c r="F22" s="415">
        <f>0.018*0.145*6*H22</f>
        <v>595.07999999999993</v>
      </c>
      <c r="G22" s="415">
        <f>F22*6/4.97</f>
        <v>718.40643863179071</v>
      </c>
      <c r="H22" s="12">
        <v>38000</v>
      </c>
    </row>
    <row r="23" spans="2:8" s="2" customFormat="1" ht="20.45" customHeight="1" thickBot="1">
      <c r="B23" s="472" t="s">
        <v>205</v>
      </c>
      <c r="C23" s="107"/>
      <c r="D23" s="423" t="s">
        <v>198</v>
      </c>
      <c r="E23" s="423" t="s">
        <v>792</v>
      </c>
      <c r="F23" s="419">
        <f>0.018*0.146*5.5*H23</f>
        <v>549.25199999999995</v>
      </c>
      <c r="G23" s="419">
        <f>F23*5/3.85</f>
        <v>713.31428571428569</v>
      </c>
      <c r="H23" s="131">
        <v>38000</v>
      </c>
    </row>
    <row r="24" spans="2:8" s="237" customFormat="1" ht="20.45" customHeight="1">
      <c r="B24" s="465" t="s">
        <v>206</v>
      </c>
      <c r="C24" s="427"/>
      <c r="D24" s="55" t="s">
        <v>198</v>
      </c>
      <c r="E24" s="55" t="s">
        <v>793</v>
      </c>
      <c r="F24" s="417">
        <f>0.02*0.145*3*H24</f>
        <v>330.59999999999997</v>
      </c>
      <c r="G24" s="417">
        <f>F24*5/2.025</f>
        <v>816.29629629629619</v>
      </c>
      <c r="H24" s="12">
        <v>38000</v>
      </c>
    </row>
    <row r="25" spans="2:8" s="237" customFormat="1" ht="20.45" customHeight="1">
      <c r="B25" s="469" t="s">
        <v>819</v>
      </c>
      <c r="C25" s="427"/>
      <c r="D25" s="420" t="s">
        <v>198</v>
      </c>
      <c r="E25" s="420" t="s">
        <v>800</v>
      </c>
      <c r="F25" s="415">
        <f>0.02*0.145*4*H25</f>
        <v>440.79999999999995</v>
      </c>
      <c r="G25" s="415">
        <f>F25*5/2.7</f>
        <v>816.29629629629619</v>
      </c>
      <c r="H25" s="12">
        <v>38000</v>
      </c>
    </row>
    <row r="26" spans="2:8" s="237" customFormat="1" ht="20.45" customHeight="1">
      <c r="B26" s="469" t="s">
        <v>207</v>
      </c>
      <c r="C26" s="427"/>
      <c r="D26" s="420" t="s">
        <v>198</v>
      </c>
      <c r="E26" s="420" t="s">
        <v>794</v>
      </c>
      <c r="F26" s="415">
        <f>0.02*0.145*5*H26</f>
        <v>551</v>
      </c>
      <c r="G26" s="415">
        <f>F26*5/3.375</f>
        <v>816.2962962962963</v>
      </c>
      <c r="H26" s="12">
        <v>38000</v>
      </c>
    </row>
    <row r="27" spans="2:8" s="237" customFormat="1" ht="20.45" customHeight="1">
      <c r="B27" s="469" t="s">
        <v>208</v>
      </c>
      <c r="C27" s="427"/>
      <c r="D27" s="420" t="s">
        <v>198</v>
      </c>
      <c r="E27" s="420" t="s">
        <v>795</v>
      </c>
      <c r="F27" s="415">
        <f>0.02*0.145*6*H27</f>
        <v>661.19999999999993</v>
      </c>
      <c r="G27" s="415">
        <f>F27*5/4.05</f>
        <v>816.29629629629619</v>
      </c>
      <c r="H27" s="12">
        <v>38000</v>
      </c>
    </row>
    <row r="28" spans="2:8" s="2" customFormat="1" ht="20.45" customHeight="1">
      <c r="B28" s="465" t="s">
        <v>210</v>
      </c>
      <c r="C28" s="103"/>
      <c r="D28" s="55" t="s">
        <v>211</v>
      </c>
      <c r="E28" s="55" t="s">
        <v>798</v>
      </c>
      <c r="F28" s="415">
        <f>0.02*0.19*3*H28</f>
        <v>433.2</v>
      </c>
      <c r="G28" s="415">
        <f>F28*3/1.62</f>
        <v>802.22222222222206</v>
      </c>
      <c r="H28" s="12">
        <v>38000</v>
      </c>
    </row>
    <row r="29" spans="2:8" s="2" customFormat="1" ht="20.45" customHeight="1">
      <c r="B29" s="469" t="s">
        <v>212</v>
      </c>
      <c r="C29" s="103"/>
      <c r="D29" s="420" t="s">
        <v>211</v>
      </c>
      <c r="E29" s="420" t="s">
        <v>799</v>
      </c>
      <c r="F29" s="415">
        <f>0.02*0.19*4*H29</f>
        <v>577.6</v>
      </c>
      <c r="G29" s="415">
        <f>F29*3/2.16</f>
        <v>802.22222222222229</v>
      </c>
      <c r="H29" s="12">
        <v>38000</v>
      </c>
    </row>
    <row r="30" spans="2:8" s="2" customFormat="1" ht="20.45" customHeight="1">
      <c r="B30" s="469" t="s">
        <v>213</v>
      </c>
      <c r="C30" s="103"/>
      <c r="D30" s="420" t="s">
        <v>211</v>
      </c>
      <c r="E30" s="420" t="s">
        <v>800</v>
      </c>
      <c r="F30" s="415">
        <f>0.02*0.19*5*H30</f>
        <v>722</v>
      </c>
      <c r="G30" s="415">
        <f>F30*3/2.7</f>
        <v>802.22222222222217</v>
      </c>
      <c r="H30" s="12">
        <v>38000</v>
      </c>
    </row>
    <row r="31" spans="2:8" s="2" customFormat="1" ht="20.45" customHeight="1" thickBot="1">
      <c r="B31" s="472" t="s">
        <v>214</v>
      </c>
      <c r="C31" s="103"/>
      <c r="D31" s="420" t="s">
        <v>211</v>
      </c>
      <c r="E31" s="420" t="s">
        <v>801</v>
      </c>
      <c r="F31" s="415">
        <f>0.02*0.19*6*H31</f>
        <v>866.4</v>
      </c>
      <c r="G31" s="415">
        <f>F31*3/3.24</f>
        <v>802.22222222222206</v>
      </c>
      <c r="H31" s="12">
        <v>38000</v>
      </c>
    </row>
    <row r="32" spans="2:8" s="2" customFormat="1" ht="20.45" customHeight="1">
      <c r="B32" s="102" t="s">
        <v>814</v>
      </c>
      <c r="C32" s="428"/>
      <c r="D32" s="102" t="s">
        <v>198</v>
      </c>
      <c r="E32" s="102" t="s">
        <v>797</v>
      </c>
      <c r="F32" s="414">
        <f>0.018*0.146*5*H32</f>
        <v>525.59999999999991</v>
      </c>
      <c r="G32" s="414">
        <f>F32*5/3.85</f>
        <v>682.59740259740249</v>
      </c>
      <c r="H32" s="27">
        <v>40000</v>
      </c>
    </row>
    <row r="33" spans="2:8" s="2" customFormat="1" ht="20.45" customHeight="1">
      <c r="B33" s="420" t="s">
        <v>810</v>
      </c>
      <c r="C33" s="103"/>
      <c r="D33" s="420" t="s">
        <v>198</v>
      </c>
      <c r="E33" s="420" t="s">
        <v>792</v>
      </c>
      <c r="F33" s="415">
        <f>0.018*0.146*5.5*H33</f>
        <v>578.16</v>
      </c>
      <c r="G33" s="415">
        <f>F33*5/3.85</f>
        <v>750.85714285714278</v>
      </c>
      <c r="H33" s="12">
        <v>40000</v>
      </c>
    </row>
    <row r="34" spans="2:8" s="2" customFormat="1" ht="20.45" customHeight="1">
      <c r="B34" s="420" t="s">
        <v>815</v>
      </c>
      <c r="C34" s="103"/>
      <c r="D34" s="420" t="s">
        <v>198</v>
      </c>
      <c r="E34" s="420" t="s">
        <v>788</v>
      </c>
      <c r="F34" s="415">
        <f>0.018*0.146*6*H34</f>
        <v>630.71999999999991</v>
      </c>
      <c r="G34" s="415">
        <f>F34*5/4.2</f>
        <v>750.85714285714266</v>
      </c>
      <c r="H34" s="12">
        <v>40000</v>
      </c>
    </row>
    <row r="35" spans="2:8" s="2" customFormat="1" ht="20.45" customHeight="1">
      <c r="B35" s="420" t="s">
        <v>813</v>
      </c>
      <c r="C35" s="103"/>
      <c r="D35" s="420" t="s">
        <v>209</v>
      </c>
      <c r="E35" s="420" t="s">
        <v>796</v>
      </c>
      <c r="F35" s="415">
        <f>0.021*0.146*5*H35</f>
        <v>613.20000000000005</v>
      </c>
      <c r="G35" s="415">
        <f>F35*4/2.8</f>
        <v>876.00000000000011</v>
      </c>
      <c r="H35" s="12">
        <v>40000</v>
      </c>
    </row>
    <row r="36" spans="2:8" s="2" customFormat="1" ht="20.45" customHeight="1">
      <c r="B36" s="420" t="s">
        <v>812</v>
      </c>
      <c r="C36" s="103"/>
      <c r="D36" s="420" t="s">
        <v>209</v>
      </c>
      <c r="E36" s="420" t="s">
        <v>787</v>
      </c>
      <c r="F36" s="415">
        <f>0.021*0.146*5.5*H36</f>
        <v>674.52</v>
      </c>
      <c r="G36" s="415">
        <f>F36*4/3.36</f>
        <v>803</v>
      </c>
      <c r="H36" s="12">
        <v>40000</v>
      </c>
    </row>
    <row r="37" spans="2:8" s="2" customFormat="1" ht="20.45" customHeight="1" thickBot="1">
      <c r="B37" s="423" t="s">
        <v>811</v>
      </c>
      <c r="C37" s="107"/>
      <c r="D37" s="423" t="s">
        <v>209</v>
      </c>
      <c r="E37" s="423" t="s">
        <v>797</v>
      </c>
      <c r="F37" s="419">
        <f>0.021*0.146*6*H37</f>
        <v>735.84000000000015</v>
      </c>
      <c r="G37" s="419">
        <f>F37*4/3.5</f>
        <v>840.96000000000015</v>
      </c>
      <c r="H37" s="13">
        <v>40000</v>
      </c>
    </row>
    <row r="38" spans="2:8" ht="13.9" customHeight="1" thickBot="1">
      <c r="B38" s="537" t="s">
        <v>732</v>
      </c>
      <c r="C38" s="538"/>
      <c r="D38" s="538"/>
      <c r="E38" s="538"/>
      <c r="F38" s="538"/>
      <c r="G38" s="538"/>
      <c r="H38" s="539"/>
    </row>
    <row r="39" spans="2:8">
      <c r="B39" s="21"/>
      <c r="C39" s="21"/>
      <c r="D39" s="21"/>
      <c r="E39" s="21"/>
      <c r="F39" s="21"/>
      <c r="G39" s="21"/>
    </row>
    <row r="40" spans="2:8">
      <c r="B40" s="21"/>
      <c r="C40" s="21"/>
      <c r="D40" s="21"/>
      <c r="E40" s="21"/>
      <c r="F40" s="21"/>
      <c r="G40" s="21"/>
    </row>
    <row r="41" spans="2:8">
      <c r="B41" s="21"/>
      <c r="C41" s="21"/>
      <c r="D41" s="21"/>
      <c r="E41" s="21"/>
      <c r="F41" s="21"/>
      <c r="G41" s="21"/>
    </row>
    <row r="42" spans="2:8">
      <c r="B42" s="21"/>
      <c r="C42" s="21"/>
      <c r="D42" s="21"/>
      <c r="E42" s="21"/>
      <c r="F42" s="21"/>
      <c r="G42" s="19"/>
    </row>
    <row r="43" spans="2:8">
      <c r="B43" s="19"/>
      <c r="C43" s="19"/>
      <c r="D43" s="19"/>
      <c r="E43" s="19"/>
      <c r="F43" s="19"/>
      <c r="G43" s="19"/>
    </row>
    <row r="44" spans="2:8">
      <c r="B44" s="19"/>
      <c r="C44" s="19"/>
      <c r="D44" s="19"/>
      <c r="E44" s="19"/>
      <c r="F44" s="19"/>
      <c r="G44" s="19"/>
    </row>
    <row r="45" spans="2:8">
      <c r="B45" s="19"/>
      <c r="C45" s="19"/>
      <c r="D45" s="19"/>
      <c r="E45" s="19"/>
      <c r="F45" s="19"/>
      <c r="G45" s="19"/>
    </row>
    <row r="46" spans="2:8">
      <c r="B46" s="19"/>
      <c r="C46" s="19"/>
      <c r="D46" s="19"/>
      <c r="E46" s="19"/>
      <c r="F46" s="19"/>
      <c r="G46" s="19"/>
    </row>
    <row r="47" spans="2:8">
      <c r="B47" s="19"/>
      <c r="C47" s="19"/>
      <c r="D47" s="19"/>
      <c r="E47" s="19"/>
      <c r="F47" s="19"/>
      <c r="G47" s="19"/>
    </row>
    <row r="48" spans="2:8">
      <c r="B48" s="19"/>
      <c r="C48" s="19"/>
      <c r="D48" s="19"/>
      <c r="E48" s="19"/>
      <c r="F48" s="19"/>
      <c r="G48" s="19"/>
    </row>
    <row r="49" spans="2:7">
      <c r="B49" s="19"/>
      <c r="C49" s="19"/>
      <c r="D49" s="19"/>
      <c r="E49" s="19"/>
      <c r="F49" s="19"/>
      <c r="G49" s="19"/>
    </row>
    <row r="50" spans="2:7">
      <c r="B50" s="19"/>
      <c r="C50" s="19"/>
      <c r="D50" s="19"/>
      <c r="E50" s="19"/>
      <c r="F50" s="19"/>
      <c r="G50" s="19"/>
    </row>
    <row r="51" spans="2:7">
      <c r="B51" s="19"/>
      <c r="C51" s="19"/>
      <c r="D51" s="19"/>
      <c r="E51" s="19"/>
      <c r="F51" s="19"/>
      <c r="G51" s="19"/>
    </row>
  </sheetData>
  <mergeCells count="11">
    <mergeCell ref="B38:H38"/>
    <mergeCell ref="B8:H8"/>
    <mergeCell ref="B10:H10"/>
    <mergeCell ref="B1:G1"/>
    <mergeCell ref="D7:H7"/>
    <mergeCell ref="B6:H6"/>
    <mergeCell ref="B5:H5"/>
    <mergeCell ref="B4:H4"/>
    <mergeCell ref="B3:H3"/>
    <mergeCell ref="B2:H2"/>
    <mergeCell ref="B9:H9"/>
  </mergeCells>
  <pageMargins left="0.31496062992125984" right="0.15748031496062992" top="0.15748031496062992" bottom="0.15748031496062992" header="0.15748031496062992" footer="0.15748031496062992"/>
  <pageSetup paperSize="9" scale="73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H31"/>
  <sheetViews>
    <sheetView topLeftCell="B1" workbookViewId="0">
      <selection activeCell="F23" sqref="F23"/>
    </sheetView>
  </sheetViews>
  <sheetFormatPr defaultRowHeight="12.75"/>
  <cols>
    <col min="1" max="1" width="4.7109375" customWidth="1"/>
    <col min="2" max="2" width="79" customWidth="1"/>
    <col min="3" max="3" width="17.140625" customWidth="1"/>
  </cols>
  <sheetData>
    <row r="1" spans="2:8" ht="19.899999999999999" customHeight="1">
      <c r="B1" s="542" t="s">
        <v>0</v>
      </c>
      <c r="C1" s="542"/>
    </row>
    <row r="2" spans="2:8" ht="19.899999999999999" customHeight="1">
      <c r="B2" s="544" t="s">
        <v>1</v>
      </c>
      <c r="C2" s="544"/>
    </row>
    <row r="3" spans="2:8" ht="19.899999999999999" customHeight="1">
      <c r="B3" s="542" t="s">
        <v>2</v>
      </c>
      <c r="C3" s="542"/>
    </row>
    <row r="4" spans="2:8" ht="19.899999999999999" customHeight="1">
      <c r="B4" s="542" t="s">
        <v>190</v>
      </c>
      <c r="C4" s="542"/>
      <c r="F4" s="14"/>
    </row>
    <row r="5" spans="2:8" ht="19.899999999999999" customHeight="1">
      <c r="B5" s="542" t="s">
        <v>830</v>
      </c>
      <c r="C5" s="542"/>
      <c r="F5" s="14"/>
    </row>
    <row r="6" spans="2:8" ht="19.899999999999999" customHeight="1">
      <c r="B6" s="542" t="s">
        <v>50</v>
      </c>
      <c r="C6" s="542"/>
      <c r="G6" s="268"/>
      <c r="H6" s="268"/>
    </row>
    <row r="7" spans="2:8" ht="18.600000000000001" customHeight="1">
      <c r="C7" s="251"/>
      <c r="F7" s="268"/>
      <c r="G7" s="268"/>
      <c r="H7" s="268"/>
    </row>
    <row r="8" spans="2:8" ht="24" customHeight="1">
      <c r="B8" s="524" t="s">
        <v>831</v>
      </c>
      <c r="C8" s="524"/>
      <c r="D8" s="455"/>
      <c r="E8" s="455"/>
      <c r="F8" s="455"/>
      <c r="G8" s="455"/>
      <c r="H8" s="455"/>
    </row>
    <row r="9" spans="2:8" ht="15.75" customHeight="1" thickBot="1">
      <c r="B9" s="520" t="s">
        <v>816</v>
      </c>
      <c r="C9" s="520"/>
    </row>
    <row r="10" spans="2:8" ht="17.25" customHeight="1" thickBot="1">
      <c r="B10" s="546" t="s">
        <v>228</v>
      </c>
      <c r="C10" s="547"/>
    </row>
    <row r="11" spans="2:8" ht="18" customHeight="1" thickBot="1">
      <c r="B11" s="250" t="s">
        <v>229</v>
      </c>
      <c r="C11" s="141" t="s">
        <v>230</v>
      </c>
      <c r="D11" s="5"/>
    </row>
    <row r="12" spans="2:8" ht="18.75" customHeight="1">
      <c r="B12" s="32" t="s">
        <v>231</v>
      </c>
      <c r="C12" s="12">
        <v>830</v>
      </c>
      <c r="D12" s="1"/>
      <c r="E12" s="4"/>
      <c r="F12" s="4"/>
    </row>
    <row r="13" spans="2:8" ht="18.75" customHeight="1">
      <c r="B13" s="33" t="s">
        <v>232</v>
      </c>
      <c r="C13" s="12">
        <v>830</v>
      </c>
      <c r="D13" s="1"/>
      <c r="E13" s="4"/>
      <c r="F13" s="4"/>
    </row>
    <row r="14" spans="2:8" ht="18.75" customHeight="1">
      <c r="B14" s="33" t="s">
        <v>233</v>
      </c>
      <c r="C14" s="11">
        <v>430</v>
      </c>
      <c r="D14" s="1"/>
      <c r="E14" s="4"/>
      <c r="F14" s="4"/>
    </row>
    <row r="15" spans="2:8" ht="18.75" customHeight="1">
      <c r="B15" s="33" t="s">
        <v>234</v>
      </c>
      <c r="C15" s="11">
        <v>430</v>
      </c>
      <c r="D15" s="1"/>
      <c r="E15" s="4"/>
      <c r="F15" s="4"/>
    </row>
    <row r="16" spans="2:8" ht="18.75" customHeight="1" thickBot="1">
      <c r="B16" s="140" t="s">
        <v>235</v>
      </c>
      <c r="C16" s="130">
        <v>430</v>
      </c>
      <c r="D16" s="1"/>
      <c r="E16" s="4"/>
      <c r="F16" s="4"/>
    </row>
    <row r="17" spans="2:7" ht="18" customHeight="1" thickBot="1">
      <c r="B17" s="546" t="s">
        <v>236</v>
      </c>
      <c r="C17" s="547"/>
      <c r="D17" s="1"/>
      <c r="E17" s="4"/>
      <c r="F17" s="4"/>
    </row>
    <row r="18" spans="2:7" ht="42" customHeight="1">
      <c r="B18" s="50" t="s">
        <v>237</v>
      </c>
      <c r="C18" s="27">
        <v>3900</v>
      </c>
      <c r="D18" s="1"/>
      <c r="E18" s="4"/>
      <c r="F18" s="4"/>
    </row>
    <row r="19" spans="2:7" ht="42" customHeight="1">
      <c r="B19" s="51" t="s">
        <v>238</v>
      </c>
      <c r="C19" s="11">
        <v>2500</v>
      </c>
      <c r="D19" s="1"/>
      <c r="E19" s="4"/>
      <c r="F19" s="4"/>
    </row>
    <row r="20" spans="2:7" ht="42" customHeight="1">
      <c r="B20" s="149" t="s">
        <v>239</v>
      </c>
      <c r="C20" s="130">
        <v>3800</v>
      </c>
      <c r="D20" s="1"/>
      <c r="E20" s="4"/>
      <c r="F20" s="4"/>
    </row>
    <row r="21" spans="2:7" ht="42" customHeight="1" thickBot="1">
      <c r="B21" s="35" t="s">
        <v>240</v>
      </c>
      <c r="C21" s="13">
        <v>2700</v>
      </c>
      <c r="D21" s="1"/>
      <c r="E21" s="4"/>
      <c r="F21" s="4"/>
    </row>
    <row r="22" spans="2:7" ht="20.25" customHeight="1" thickBot="1">
      <c r="B22" s="546" t="s">
        <v>241</v>
      </c>
      <c r="C22" s="547"/>
      <c r="D22" s="1"/>
      <c r="E22" s="4"/>
      <c r="F22" s="4"/>
    </row>
    <row r="23" spans="2:7" ht="42" customHeight="1">
      <c r="B23" s="34" t="s">
        <v>242</v>
      </c>
      <c r="C23" s="27">
        <v>1250</v>
      </c>
      <c r="D23" s="1"/>
      <c r="E23" s="4"/>
      <c r="F23" s="4"/>
    </row>
    <row r="24" spans="2:7" ht="42" customHeight="1" thickBot="1">
      <c r="B24" s="35" t="s">
        <v>243</v>
      </c>
      <c r="C24" s="13">
        <v>1070</v>
      </c>
      <c r="D24" s="1"/>
      <c r="E24" s="4"/>
      <c r="F24" s="4"/>
    </row>
    <row r="25" spans="2:7" ht="21" customHeight="1" thickBot="1">
      <c r="B25" s="548" t="s">
        <v>244</v>
      </c>
      <c r="C25" s="549"/>
    </row>
    <row r="26" spans="2:7" ht="20.25" customHeight="1" thickBot="1">
      <c r="B26" s="158" t="s">
        <v>245</v>
      </c>
      <c r="C26" s="132">
        <v>600</v>
      </c>
    </row>
    <row r="27" spans="2:7" ht="20.25" customHeight="1" thickBot="1">
      <c r="B27" s="546" t="s">
        <v>246</v>
      </c>
      <c r="C27" s="547"/>
    </row>
    <row r="28" spans="2:7" ht="20.25" customHeight="1" thickBot="1">
      <c r="B28" s="239" t="s">
        <v>247</v>
      </c>
      <c r="C28" s="29">
        <v>100</v>
      </c>
    </row>
    <row r="29" spans="2:7" ht="18.75" customHeight="1" thickBot="1">
      <c r="B29" s="546" t="s">
        <v>246</v>
      </c>
      <c r="C29" s="547"/>
      <c r="G29" s="16"/>
    </row>
    <row r="30" spans="2:7" ht="17.25" customHeight="1" thickBot="1">
      <c r="B30" s="36" t="s">
        <v>248</v>
      </c>
      <c r="C30" s="29">
        <v>200</v>
      </c>
      <c r="G30" s="16"/>
    </row>
    <row r="31" spans="2:7" ht="14.25" customHeight="1" thickBot="1">
      <c r="B31" s="534" t="s">
        <v>732</v>
      </c>
      <c r="C31" s="536"/>
      <c r="G31" s="15"/>
    </row>
  </sheetData>
  <mergeCells count="15">
    <mergeCell ref="B22:C22"/>
    <mergeCell ref="B25:C25"/>
    <mergeCell ref="B29:C29"/>
    <mergeCell ref="B31:C31"/>
    <mergeCell ref="B6:C6"/>
    <mergeCell ref="B9:C9"/>
    <mergeCell ref="B10:C10"/>
    <mergeCell ref="B17:C17"/>
    <mergeCell ref="B27:C27"/>
    <mergeCell ref="B8:C8"/>
    <mergeCell ref="B1:C1"/>
    <mergeCell ref="B2:C2"/>
    <mergeCell ref="B3:C3"/>
    <mergeCell ref="B4:C4"/>
    <mergeCell ref="B5:C5"/>
  </mergeCells>
  <pageMargins left="0.21" right="0" top="0.25" bottom="0.17" header="0.17" footer="0.19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11</vt:i4>
      </vt:variant>
    </vt:vector>
  </HeadingPairs>
  <TitlesOfParts>
    <vt:vector size="25" baseType="lpstr">
      <vt:lpstr>АКЦИИ МЕСЯЦА</vt:lpstr>
      <vt:lpstr>Доска обрезная</vt:lpstr>
      <vt:lpstr>Доска строганная</vt:lpstr>
      <vt:lpstr>Бруски</vt:lpstr>
      <vt:lpstr>Евровагонка и штиль</vt:lpstr>
      <vt:lpstr>Изделия из осины</vt:lpstr>
      <vt:lpstr>Блок-хаус, доска пола</vt:lpstr>
      <vt:lpstr>Имитация бруса</vt:lpstr>
      <vt:lpstr>Утеплители, кровля, пленки</vt:lpstr>
      <vt:lpstr>Антисептик СЕНЕЖ</vt:lpstr>
      <vt:lpstr>Погонажная продукция</vt:lpstr>
      <vt:lpstr>Лестничный элемент</vt:lpstr>
      <vt:lpstr>Метизы</vt:lpstr>
      <vt:lpstr>ОСП</vt:lpstr>
      <vt:lpstr>'АКЦИИ МЕСЯЦА'!Область_печати</vt:lpstr>
      <vt:lpstr>'Антисептик СЕНЕЖ'!Область_печати</vt:lpstr>
      <vt:lpstr>'Блок-хаус, доска пола'!Область_печати</vt:lpstr>
      <vt:lpstr>'Доска строганная'!Область_печати</vt:lpstr>
      <vt:lpstr>'Евровагонка и штиль'!Область_печати</vt:lpstr>
      <vt:lpstr>'Изделия из осины'!Область_печати</vt:lpstr>
      <vt:lpstr>'Имитация бруса'!Область_печати</vt:lpstr>
      <vt:lpstr>'Лестничный элемент'!Область_печати</vt:lpstr>
      <vt:lpstr>ОСП!Область_печати</vt:lpstr>
      <vt:lpstr>'Погонажная продукция'!Область_печати</vt:lpstr>
      <vt:lpstr>'Утеплители, кровля, пленки'!Область_печати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Yaroslav</dc:creator>
  <cp:keywords/>
  <dc:description/>
  <cp:lastModifiedBy>Волков</cp:lastModifiedBy>
  <cp:revision/>
  <cp:lastPrinted>2024-04-25T13:54:09Z</cp:lastPrinted>
  <dcterms:created xsi:type="dcterms:W3CDTF">2007-02-01T08:58:19Z</dcterms:created>
  <dcterms:modified xsi:type="dcterms:W3CDTF">2024-04-25T13:54:39Z</dcterms:modified>
  <cp:category/>
  <cp:contentStatus/>
</cp:coreProperties>
</file>